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E:\PhD\Tool Development\"/>
    </mc:Choice>
  </mc:AlternateContent>
  <xr:revisionPtr revIDLastSave="0" documentId="13_ncr:1_{CCD978E4-AD90-4A20-9846-A4BCD445C152}" xr6:coauthVersionLast="47" xr6:coauthVersionMax="47" xr10:uidLastSave="{00000000-0000-0000-0000-000000000000}"/>
  <bookViews>
    <workbookView xWindow="-98" yWindow="-98" windowWidth="20715" windowHeight="13155" xr2:uid="{62E443AB-E1C6-4DBC-9AB8-D0139BD2B166}"/>
  </bookViews>
  <sheets>
    <sheet name="Simplified" sheetId="6" r:id="rId1"/>
    <sheet name="Advanced" sheetId="8"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8" l="1"/>
  <c r="D61" i="8"/>
  <c r="D20" i="8"/>
  <c r="BE16" i="8" l="1"/>
  <c r="D30" i="8"/>
  <c r="D16" i="8"/>
  <c r="D14" i="8"/>
  <c r="D62" i="8"/>
  <c r="BV31" i="6" l="1"/>
  <c r="BI50" i="6" s="1"/>
  <c r="BV30" i="6"/>
  <c r="BI49" i="6" s="1"/>
  <c r="BS20" i="6"/>
  <c r="BS21" i="6" s="1"/>
  <c r="BS22" i="6" s="1"/>
  <c r="BS23" i="6"/>
  <c r="BS24" i="6"/>
  <c r="BS25" i="6"/>
  <c r="BP27" i="6"/>
  <c r="BP33" i="6"/>
  <c r="BP34" i="6"/>
  <c r="BS39" i="6"/>
  <c r="BV31" i="8"/>
  <c r="BI50" i="8" s="1"/>
  <c r="BP27" i="8"/>
  <c r="BV30" i="8"/>
  <c r="BI49" i="8" s="1"/>
  <c r="BF59" i="6" l="1"/>
  <c r="BD45" i="6"/>
  <c r="BD46" i="6" s="1"/>
  <c r="BD25" i="8"/>
  <c r="D67" i="8" l="1"/>
  <c r="BD45" i="8" s="1"/>
  <c r="D47" i="8" l="1"/>
  <c r="D60" i="8"/>
  <c r="BD40" i="8"/>
  <c r="BL40" i="8" s="1"/>
  <c r="D65" i="8"/>
  <c r="D66" i="8"/>
  <c r="BS42" i="8"/>
  <c r="BD41" i="6"/>
  <c r="BF39" i="6"/>
  <c r="BF39" i="8"/>
  <c r="BL41" i="6" l="1"/>
  <c r="BK41" i="6"/>
  <c r="BJ41" i="6"/>
  <c r="BD46" i="8"/>
  <c r="BD41" i="8" s="1"/>
  <c r="D45" i="8" l="1"/>
  <c r="D44" i="8"/>
  <c r="D41" i="8"/>
  <c r="D40" i="8"/>
  <c r="D36" i="8"/>
  <c r="D21" i="8"/>
  <c r="BH39" i="8" s="1"/>
  <c r="D18" i="8"/>
  <c r="D15" i="8"/>
  <c r="BE25" i="8" s="1"/>
  <c r="BH40" i="8" l="1"/>
  <c r="BI40" i="8" s="1"/>
  <c r="BH42" i="8"/>
  <c r="BH41" i="8"/>
  <c r="BD40" i="6" l="1"/>
  <c r="J25" i="8"/>
  <c r="BE25" i="6"/>
  <c r="BE18" i="6"/>
  <c r="J25" i="6"/>
  <c r="BD26" i="6" l="1"/>
  <c r="K25" i="6" s="1"/>
  <c r="BF18" i="6"/>
  <c r="BE26" i="6" s="1"/>
  <c r="BK40" i="6"/>
  <c r="BL40" i="6"/>
  <c r="BJ40" i="6"/>
  <c r="BD25" i="6"/>
  <c r="BF16" i="8"/>
  <c r="BE24" i="8" s="1"/>
  <c r="BE69" i="8"/>
  <c r="BP34" i="8"/>
  <c r="BP33" i="8"/>
  <c r="BE16" i="6"/>
  <c r="BF16" i="6" s="1"/>
  <c r="BE24" i="6" s="1"/>
  <c r="BF59" i="8"/>
  <c r="K24" i="8" l="1"/>
  <c r="L24" i="8"/>
  <c r="BD24" i="8"/>
  <c r="K23" i="8" s="1"/>
  <c r="Q22" i="6" l="1"/>
  <c r="BS20" i="8"/>
  <c r="BS21" i="8" s="1"/>
  <c r="BS22" i="8" s="1"/>
  <c r="Q22" i="8"/>
  <c r="BN49" i="8" l="1"/>
  <c r="BN50" i="8" s="1" a="1"/>
  <c r="BN50" i="8" s="1"/>
  <c r="BN51" i="8" s="1"/>
  <c r="K24" i="6" l="1"/>
  <c r="BN52" i="8"/>
  <c r="L23" i="8"/>
  <c r="BF50" i="6" l="1"/>
  <c r="BE62" i="8"/>
  <c r="BI52" i="8"/>
  <c r="BF52" i="8"/>
  <c r="BF51" i="8"/>
  <c r="BF50" i="8"/>
  <c r="BF42" i="8"/>
  <c r="BD42" i="8"/>
  <c r="BF41" i="8"/>
  <c r="BF40" i="8"/>
  <c r="BD39" i="8"/>
  <c r="BE18" i="8"/>
  <c r="BE17" i="8"/>
  <c r="BS25" i="8"/>
  <c r="BS24" i="8"/>
  <c r="BT23" i="8"/>
  <c r="BI39" i="8" l="1"/>
  <c r="BL39" i="8"/>
  <c r="BF17" i="8"/>
  <c r="BE27" i="8" s="1"/>
  <c r="BD27" i="8"/>
  <c r="BD26" i="8"/>
  <c r="BF18" i="8"/>
  <c r="BE26" i="8" s="1"/>
  <c r="BG39" i="8"/>
  <c r="BG42" i="8"/>
  <c r="BJ42" i="8"/>
  <c r="BL42" i="8"/>
  <c r="BK42" i="8"/>
  <c r="BI42" i="8"/>
  <c r="BK39" i="8"/>
  <c r="BJ39" i="8"/>
  <c r="BK41" i="8"/>
  <c r="BG41" i="8"/>
  <c r="BL41" i="8"/>
  <c r="BJ41" i="8"/>
  <c r="BI41" i="8"/>
  <c r="BJ40" i="8"/>
  <c r="BK40" i="8"/>
  <c r="BG40" i="8"/>
  <c r="K25" i="8"/>
  <c r="BD43" i="8"/>
  <c r="BE20" i="8"/>
  <c r="BL43" i="8" l="1"/>
  <c r="BI43" i="8"/>
  <c r="BK43" i="8"/>
  <c r="BJ43" i="8"/>
  <c r="BG43" i="8"/>
  <c r="L25" i="8"/>
  <c r="BF20" i="8"/>
  <c r="BF49" i="8" l="1"/>
  <c r="BF53" i="8" s="1"/>
  <c r="L26" i="8"/>
  <c r="K26" i="8"/>
  <c r="BE56" i="8" l="1"/>
  <c r="BD42" i="6"/>
  <c r="BD39" i="6"/>
  <c r="BK39" i="6" l="1"/>
  <c r="BJ39" i="6"/>
  <c r="BG39" i="6"/>
  <c r="BL39" i="6"/>
  <c r="BL42" i="6"/>
  <c r="BJ42" i="6"/>
  <c r="BK42" i="6"/>
  <c r="BD43" i="6"/>
  <c r="BK43" i="6" l="1"/>
  <c r="BH40" i="6"/>
  <c r="BI40" i="6" s="1"/>
  <c r="BH41" i="6"/>
  <c r="BI41" i="6" s="1"/>
  <c r="BH42" i="6"/>
  <c r="BI42" i="6" s="1"/>
  <c r="BH39" i="6"/>
  <c r="BI39" i="6" s="1"/>
  <c r="BF51" i="6"/>
  <c r="BE17" i="6"/>
  <c r="BI43" i="6" l="1"/>
  <c r="L25" i="6"/>
  <c r="BD24" i="6"/>
  <c r="K23" i="6" s="1"/>
  <c r="L23" i="6"/>
  <c r="BF17" i="6"/>
  <c r="BF20" i="6" s="1"/>
  <c r="L24" i="6"/>
  <c r="BE27" i="6" l="1"/>
  <c r="BE20" i="6"/>
  <c r="BF40" i="6"/>
  <c r="BG40" i="6" s="1"/>
  <c r="BF41" i="6"/>
  <c r="BG41" i="6" s="1"/>
  <c r="BF42" i="6"/>
  <c r="BG42" i="6" s="1"/>
  <c r="BJ43" i="6"/>
  <c r="BI52" i="6"/>
  <c r="BD27" i="6" l="1"/>
  <c r="K26" i="6" s="1"/>
  <c r="BG43" i="6"/>
  <c r="BL43" i="6"/>
  <c r="BF49" i="6" l="1"/>
  <c r="BF53" i="6" l="1"/>
  <c r="BE56" i="6" s="1"/>
  <c r="BE57" i="6" s="1"/>
  <c r="BE58" i="6" l="1"/>
  <c r="BF58" i="6" s="1"/>
  <c r="BE60" i="6" s="1"/>
  <c r="BE31" i="6" s="1"/>
  <c r="L26" i="6"/>
  <c r="BE29" i="6" l="1"/>
  <c r="BF29" i="6" s="1"/>
  <c r="BF24" i="6"/>
  <c r="M23" i="6" s="1"/>
  <c r="BE61" i="6"/>
  <c r="BE63" i="6" s="1"/>
  <c r="BE64" i="6" s="1"/>
  <c r="BE67" i="6"/>
  <c r="BE30" i="6"/>
  <c r="BF30" i="6" s="1"/>
  <c r="M29" i="6" s="1"/>
  <c r="K15" i="6"/>
  <c r="K17" i="6" s="1"/>
  <c r="BE32" i="6"/>
  <c r="BF32" i="6" s="1"/>
  <c r="M31" i="6" s="1"/>
  <c r="BF25" i="6"/>
  <c r="M24" i="6" s="1"/>
  <c r="BF26" i="6"/>
  <c r="M25" i="6" s="1"/>
  <c r="BF27" i="6"/>
  <c r="M26" i="6" s="1"/>
  <c r="BE57" i="8"/>
  <c r="BE58" i="8" s="1"/>
  <c r="BE36" i="6"/>
  <c r="BH27" i="6" l="1"/>
  <c r="BI27" i="6" s="1"/>
  <c r="BH24" i="6"/>
  <c r="BI24" i="6" s="1"/>
  <c r="BE65" i="6"/>
  <c r="BE66" i="6" s="1"/>
  <c r="BE69" i="6" s="1"/>
  <c r="BG31" i="6"/>
  <c r="N30" i="6" s="1"/>
  <c r="L29" i="6"/>
  <c r="BD30" i="6"/>
  <c r="K29" i="6" s="1"/>
  <c r="L31" i="6"/>
  <c r="BD32" i="6"/>
  <c r="K31" i="6" s="1"/>
  <c r="BG32" i="6"/>
  <c r="N31" i="6" s="1"/>
  <c r="BG24" i="6"/>
  <c r="N23" i="6" s="1"/>
  <c r="BG25" i="6"/>
  <c r="N24" i="6" s="1"/>
  <c r="BG27" i="6"/>
  <c r="N26" i="6" s="1"/>
  <c r="BG30" i="6"/>
  <c r="N29" i="6" s="1"/>
  <c r="BG26" i="6"/>
  <c r="N25" i="6" s="1"/>
  <c r="BG29" i="6"/>
  <c r="N28" i="6" s="1"/>
  <c r="BD31" i="6"/>
  <c r="K30" i="6" s="1"/>
  <c r="BF31" i="6"/>
  <c r="M30" i="6" s="1"/>
  <c r="M28" i="6"/>
  <c r="BD29" i="6"/>
  <c r="K28" i="6" s="1"/>
  <c r="L28" i="6"/>
  <c r="BH26" i="6"/>
  <c r="BI26" i="6" s="1"/>
  <c r="BF58" i="8"/>
  <c r="BE60" i="8" s="1"/>
  <c r="L30" i="6"/>
  <c r="BH31" i="6"/>
  <c r="BI31" i="6" s="1"/>
  <c r="BH30" i="6"/>
  <c r="BI30" i="6" s="1"/>
  <c r="K16" i="6"/>
  <c r="BH29" i="6"/>
  <c r="BI29" i="6" s="1"/>
  <c r="BH25" i="6"/>
  <c r="BI25" i="6" s="1"/>
  <c r="BH32" i="6"/>
  <c r="BI32" i="6" s="1"/>
  <c r="P23" i="6" l="1"/>
  <c r="BF25" i="8"/>
  <c r="M24" i="8" s="1"/>
  <c r="BF24" i="8"/>
  <c r="M23" i="8" s="1"/>
  <c r="BE31" i="8"/>
  <c r="BE29" i="8"/>
  <c r="BE32" i="8"/>
  <c r="BF32" i="8" s="1"/>
  <c r="BE67" i="8"/>
  <c r="K18" i="6"/>
  <c r="BE68" i="6"/>
  <c r="BF27" i="8"/>
  <c r="M26" i="8" s="1"/>
  <c r="BF26" i="8"/>
  <c r="M25" i="8" s="1"/>
  <c r="P25" i="6"/>
  <c r="O25" i="6"/>
  <c r="BE30" i="8"/>
  <c r="BF30" i="8" s="1"/>
  <c r="K15" i="8"/>
  <c r="BG24" i="8" s="1"/>
  <c r="BE36" i="8"/>
  <c r="BH24" i="8" s="1"/>
  <c r="BI24" i="8" s="1"/>
  <c r="O23" i="6"/>
  <c r="P24" i="6"/>
  <c r="O24" i="6"/>
  <c r="P30" i="6"/>
  <c r="O30" i="6"/>
  <c r="P28" i="6"/>
  <c r="O28" i="6"/>
  <c r="O31" i="6"/>
  <c r="P31" i="6"/>
  <c r="P26" i="6"/>
  <c r="O26" i="6"/>
  <c r="P29" i="6"/>
  <c r="O29" i="6"/>
  <c r="BE71" i="6" l="1"/>
  <c r="BE28" i="6" s="1"/>
  <c r="BH29" i="8"/>
  <c r="BI29" i="8" s="1"/>
  <c r="BF29" i="8"/>
  <c r="M28" i="8" s="1"/>
  <c r="BD29" i="8"/>
  <c r="K28" i="8" s="1"/>
  <c r="L28" i="8"/>
  <c r="BD31" i="8"/>
  <c r="K30" i="8" s="1"/>
  <c r="BF31" i="8"/>
  <c r="BD32" i="8"/>
  <c r="K31" i="8" s="1"/>
  <c r="BG32" i="8"/>
  <c r="N31" i="8" s="1"/>
  <c r="BD30" i="8"/>
  <c r="K29" i="8" s="1"/>
  <c r="BG30" i="8"/>
  <c r="N29" i="8" s="1"/>
  <c r="K17" i="8"/>
  <c r="BG27" i="8"/>
  <c r="N26" i="8" s="1"/>
  <c r="N23" i="8"/>
  <c r="BG25" i="8"/>
  <c r="N24" i="8" s="1"/>
  <c r="BG26" i="8"/>
  <c r="N25" i="8" s="1"/>
  <c r="BG29" i="8"/>
  <c r="N28" i="8" s="1"/>
  <c r="BG31" i="8"/>
  <c r="N30" i="8" s="1"/>
  <c r="BH27" i="8"/>
  <c r="BH26" i="8"/>
  <c r="BE61" i="8"/>
  <c r="BE63" i="8" s="1"/>
  <c r="BE64" i="8" s="1"/>
  <c r="BE65" i="8" s="1"/>
  <c r="BE66" i="8" s="1"/>
  <c r="L30" i="8"/>
  <c r="BH31" i="8"/>
  <c r="BI31" i="8" s="1"/>
  <c r="K16" i="8"/>
  <c r="BH25" i="8"/>
  <c r="BI25" i="8" s="1"/>
  <c r="L31" i="8"/>
  <c r="BH32" i="8"/>
  <c r="BI32" i="8" s="1"/>
  <c r="L29" i="8"/>
  <c r="BH30" i="8"/>
  <c r="BI30" i="8" s="1"/>
  <c r="BI27" i="8" l="1"/>
  <c r="P26" i="8" s="1"/>
  <c r="BG28" i="6"/>
  <c r="BE34" i="6"/>
  <c r="BJ30" i="6" s="1"/>
  <c r="Q29" i="6" s="1"/>
  <c r="BH28" i="6"/>
  <c r="BD28" i="6"/>
  <c r="K27" i="6" s="1"/>
  <c r="L27" i="6"/>
  <c r="L33" i="6" s="1"/>
  <c r="BF28" i="6"/>
  <c r="BF34" i="6" s="1"/>
  <c r="BI26" i="8"/>
  <c r="O25" i="8" s="1"/>
  <c r="M31" i="8"/>
  <c r="M29" i="8"/>
  <c r="M30" i="8"/>
  <c r="BE70" i="8"/>
  <c r="N27" i="6"/>
  <c r="N33" i="6" s="1"/>
  <c r="BG34" i="6"/>
  <c r="BH34" i="6"/>
  <c r="P24" i="8"/>
  <c r="O24" i="8"/>
  <c r="O26" i="8"/>
  <c r="O29" i="8"/>
  <c r="P29" i="8"/>
  <c r="O28" i="8"/>
  <c r="P28" i="8"/>
  <c r="O23" i="8"/>
  <c r="P23" i="8"/>
  <c r="O30" i="8"/>
  <c r="P30" i="8"/>
  <c r="O31" i="8"/>
  <c r="P31" i="8"/>
  <c r="BI28" i="6" l="1"/>
  <c r="BI34" i="6" s="1"/>
  <c r="BD34" i="6"/>
  <c r="K33" i="6" s="1"/>
  <c r="O27" i="6"/>
  <c r="O33" i="6" s="1"/>
  <c r="BJ29" i="6"/>
  <c r="Q28" i="6" s="1"/>
  <c r="BJ28" i="6"/>
  <c r="Q27" i="6" s="1"/>
  <c r="BJ24" i="6"/>
  <c r="Q23" i="6" s="1"/>
  <c r="BJ26" i="6"/>
  <c r="Q25" i="6" s="1"/>
  <c r="BJ31" i="6"/>
  <c r="Q30" i="6" s="1"/>
  <c r="BJ25" i="6"/>
  <c r="Q24" i="6" s="1"/>
  <c r="BJ32" i="6"/>
  <c r="Q31" i="6" s="1"/>
  <c r="BJ27" i="6"/>
  <c r="Q26" i="6" s="1"/>
  <c r="M27" i="6"/>
  <c r="M33" i="6" s="1"/>
  <c r="K18" i="8"/>
  <c r="BE68" i="8"/>
  <c r="BE71" i="8" s="1"/>
  <c r="BE72" i="8" s="1"/>
  <c r="P27" i="6" l="1"/>
  <c r="P33" i="6" s="1"/>
  <c r="BJ34" i="6"/>
  <c r="Q33" i="6" s="1"/>
  <c r="BE28" i="8"/>
  <c r="BD28" i="8" s="1"/>
  <c r="BG28" i="8" l="1"/>
  <c r="N27" i="8" s="1"/>
  <c r="N33" i="8" s="1"/>
  <c r="BF28" i="8"/>
  <c r="M27" i="8" s="1"/>
  <c r="M33" i="8" s="1"/>
  <c r="BE34" i="8"/>
  <c r="BJ24" i="8" s="1"/>
  <c r="Q23" i="8" s="1"/>
  <c r="L27" i="8"/>
  <c r="L33" i="8" s="1"/>
  <c r="BH28" i="8"/>
  <c r="BI28" i="8" s="1"/>
  <c r="P27" i="8" s="1"/>
  <c r="K27" i="8"/>
  <c r="BD34" i="8"/>
  <c r="K33" i="8" s="1"/>
  <c r="BG34" i="8" l="1"/>
  <c r="BF34" i="8"/>
  <c r="BH34" i="8"/>
  <c r="O27" i="8"/>
  <c r="O33" i="8" s="1"/>
  <c r="BJ31" i="8"/>
  <c r="Q30" i="8" s="1"/>
  <c r="BJ32" i="8"/>
  <c r="Q31" i="8" s="1"/>
  <c r="BJ25" i="8"/>
  <c r="Q24" i="8" s="1"/>
  <c r="BJ30" i="8"/>
  <c r="Q29" i="8" s="1"/>
  <c r="BJ26" i="8"/>
  <c r="Q25" i="8" s="1"/>
  <c r="BJ27" i="8"/>
  <c r="Q26" i="8" s="1"/>
  <c r="BJ29" i="8"/>
  <c r="Q28" i="8" s="1"/>
  <c r="BJ28" i="8"/>
  <c r="Q27" i="8" s="1"/>
  <c r="BI34" i="8"/>
  <c r="P25" i="8" l="1"/>
  <c r="P33" i="8" s="1"/>
  <c r="BJ34" i="8"/>
  <c r="Q33"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<sst xmlns="http://schemas.openxmlformats.org/spreadsheetml/2006/main" count="561" uniqueCount="212">
  <si>
    <t>GATES</t>
  </si>
  <si>
    <t>University of Georgia Trucking cost Estimation System</t>
  </si>
  <si>
    <t>Fuel</t>
  </si>
  <si>
    <t>Equipment</t>
  </si>
  <si>
    <t>Insurance</t>
  </si>
  <si>
    <t>Costs</t>
  </si>
  <si>
    <t>Daily</t>
  </si>
  <si>
    <t>Per Ton</t>
  </si>
  <si>
    <t>Per Ton Mile</t>
  </si>
  <si>
    <t>Total</t>
  </si>
  <si>
    <t>Labor</t>
  </si>
  <si>
    <t>Annual Costs</t>
  </si>
  <si>
    <t>Annual</t>
  </si>
  <si>
    <t>Per Day</t>
  </si>
  <si>
    <t xml:space="preserve">Tires </t>
  </si>
  <si>
    <t>Volume Moved</t>
  </si>
  <si>
    <t>Road Type</t>
  </si>
  <si>
    <t>Minutes/Mile</t>
  </si>
  <si>
    <t>Time</t>
  </si>
  <si>
    <t>MPG</t>
  </si>
  <si>
    <t>Woods Road Loaded</t>
  </si>
  <si>
    <t>Paved Road Loaded</t>
  </si>
  <si>
    <t>Paved Road Unloaded</t>
  </si>
  <si>
    <t>Woods Road Unloaded</t>
  </si>
  <si>
    <t>Fuel Used</t>
  </si>
  <si>
    <t>Time per Trip</t>
  </si>
  <si>
    <t>Travel</t>
  </si>
  <si>
    <t>Delays</t>
  </si>
  <si>
    <t>Load</t>
  </si>
  <si>
    <t>Unload</t>
  </si>
  <si>
    <t>In Route Delay</t>
  </si>
  <si>
    <t>Trips Per Day</t>
  </si>
  <si>
    <t>Computed</t>
  </si>
  <si>
    <t>Integer</t>
  </si>
  <si>
    <t>Driving time per day</t>
  </si>
  <si>
    <t>Rounded Trips per day</t>
  </si>
  <si>
    <t>Service time</t>
  </si>
  <si>
    <t>Driver Time/day</t>
  </si>
  <si>
    <t>Hours</t>
  </si>
  <si>
    <t>Pay</t>
  </si>
  <si>
    <t>Per Mile</t>
  </si>
  <si>
    <t>Hours per Day</t>
  </si>
  <si>
    <t>Days per Week</t>
  </si>
  <si>
    <t>Truck</t>
  </si>
  <si>
    <t>Trailer</t>
  </si>
  <si>
    <t>Years</t>
  </si>
  <si>
    <t>Unpaved/Forest Road</t>
  </si>
  <si>
    <t>Paved Road</t>
  </si>
  <si>
    <t>Fuel Cost ($/gal)</t>
  </si>
  <si>
    <t>Average MPG</t>
  </si>
  <si>
    <t>Computations (per Truck)</t>
  </si>
  <si>
    <t>Rounding up/down</t>
  </si>
  <si>
    <t>MPH</t>
  </si>
  <si>
    <t>15 min intervals</t>
  </si>
  <si>
    <t>Rounding down interval count</t>
  </si>
  <si>
    <t>Convert to payroll hours</t>
  </si>
  <si>
    <t>Default inputs are provided, these boxes should be overwritten for your specific situation, or the defaults can be left in place.</t>
  </si>
  <si>
    <t>N</t>
  </si>
  <si>
    <t>Minor Repair and Maintenance</t>
  </si>
  <si>
    <t>Oil and Lube</t>
  </si>
  <si>
    <t>INPUTS</t>
  </si>
  <si>
    <t>RESULTS</t>
  </si>
  <si>
    <t>Working Weeks per Year</t>
  </si>
  <si>
    <t xml:space="preserve">New or Used trucks? </t>
  </si>
  <si>
    <t>Driver Pay Style</t>
  </si>
  <si>
    <t>Route</t>
  </si>
  <si>
    <t>Y</t>
  </si>
  <si>
    <t>Type of Trailer</t>
  </si>
  <si>
    <t>Plantation</t>
  </si>
  <si>
    <t>Pole</t>
  </si>
  <si>
    <t>CALCULATIONS</t>
  </si>
  <si>
    <t>Weeks Per Year</t>
  </si>
  <si>
    <t>Hours Per Day</t>
  </si>
  <si>
    <t>Days Per Week</t>
  </si>
  <si>
    <t>R&amp;M</t>
  </si>
  <si>
    <t>Tires</t>
  </si>
  <si>
    <t>Ins</t>
  </si>
  <si>
    <t>Payments</t>
  </si>
  <si>
    <t>Tolls</t>
  </si>
  <si>
    <t>Permits</t>
  </si>
  <si>
    <t>Other</t>
  </si>
  <si>
    <t>Payload (Tons)</t>
  </si>
  <si>
    <t xml:space="preserve">Benefits </t>
  </si>
  <si>
    <t>Fuel Milage</t>
  </si>
  <si>
    <t>New Vehicle</t>
  </si>
  <si>
    <t>Used Vehicle</t>
  </si>
  <si>
    <t>Trailers</t>
  </si>
  <si>
    <t>Chip Van</t>
  </si>
  <si>
    <t>4-Bolster</t>
  </si>
  <si>
    <t>Mechanic Cost</t>
  </si>
  <si>
    <t>Average salary</t>
  </si>
  <si>
    <t>Fuel Cost</t>
  </si>
  <si>
    <t>Rate</t>
  </si>
  <si>
    <t>Permits/Taxes ($/yr)</t>
  </si>
  <si>
    <t>Insurance ($/yr)</t>
  </si>
  <si>
    <t>Minutes</t>
  </si>
  <si>
    <t>% of Revenue</t>
  </si>
  <si>
    <t>Driver Pay Amount</t>
  </si>
  <si>
    <t>Number of Mechanics</t>
  </si>
  <si>
    <t>Wear/Tear</t>
  </si>
  <si>
    <t>Pay Rate</t>
  </si>
  <si>
    <t>Specific Cost Breakdown</t>
  </si>
  <si>
    <t>Average</t>
  </si>
  <si>
    <t xml:space="preserve">Hours </t>
  </si>
  <si>
    <t>Drop Downs</t>
  </si>
  <si>
    <t>Weeks/yr</t>
  </si>
  <si>
    <t>Days/wk</t>
  </si>
  <si>
    <t>Payload</t>
  </si>
  <si>
    <t>ASSUMPTIONS AND AVERAGES</t>
  </si>
  <si>
    <t>Benefits</t>
  </si>
  <si>
    <t>Benefits Pay</t>
  </si>
  <si>
    <t>Total Driver Compensation</t>
  </si>
  <si>
    <t>Other/Combination</t>
  </si>
  <si>
    <t>Loads per Truck per Day</t>
  </si>
  <si>
    <t>Tons per Truck per Day</t>
  </si>
  <si>
    <t>Miles per Truck per Day</t>
  </si>
  <si>
    <t>Driver Hours per Day</t>
  </si>
  <si>
    <t>Mileage</t>
  </si>
  <si>
    <t>Simplified</t>
  </si>
  <si>
    <t>Advanced</t>
  </si>
  <si>
    <t>Average Payload (US tons)</t>
  </si>
  <si>
    <t>Benefits? (Y/N)</t>
  </si>
  <si>
    <t>Mechanic? (Y/N)</t>
  </si>
  <si>
    <t>LISTS</t>
  </si>
  <si>
    <t>Years of Financing</t>
  </si>
  <si>
    <t>Mechanic Hours/Day</t>
  </si>
  <si>
    <t>Mechanic Days/Wk</t>
  </si>
  <si>
    <t>Unpaved Road MPG (Loaded)</t>
  </si>
  <si>
    <t>Paved Road MPG (Loaded)</t>
  </si>
  <si>
    <t>Paved Road MPG (Unloaded)</t>
  </si>
  <si>
    <t>Unpaved Road MPG (Unloaded)</t>
  </si>
  <si>
    <t xml:space="preserve">Average years in service </t>
  </si>
  <si>
    <t>Specific Cost Breakdown Per Truck</t>
  </si>
  <si>
    <t>Detailed MPG Data?</t>
  </si>
  <si>
    <t>Productivity Results</t>
  </si>
  <si>
    <t>Permits/Taxes</t>
  </si>
  <si>
    <t>Mechanic Pay Style</t>
  </si>
  <si>
    <t>Mechanic Pay Amount</t>
  </si>
  <si>
    <t>Total Number of Trucks</t>
  </si>
  <si>
    <t>Salary ($/yr)</t>
  </si>
  <si>
    <t>Weekly ($/wk)</t>
  </si>
  <si>
    <t>Daily ($/day)</t>
  </si>
  <si>
    <t>Hourly ($/hr)</t>
  </si>
  <si>
    <t>Per Loaded Mile ($/mile)</t>
  </si>
  <si>
    <t>Per Load ($/load)</t>
  </si>
  <si>
    <t>Converting to hourly ($/hr) from provided</t>
  </si>
  <si>
    <t>Daily Pay</t>
  </si>
  <si>
    <t>Converting back to daily for inclusion into daily R&amp;M costs</t>
  </si>
  <si>
    <t>Factoring in # of mechanics and # of trucks</t>
  </si>
  <si>
    <t>% of Cost</t>
  </si>
  <si>
    <t>Woods Wait per Trip</t>
  </si>
  <si>
    <t>Mill Wait per Trip</t>
  </si>
  <si>
    <t>In Route Delay per Trip</t>
  </si>
  <si>
    <t>Daily Servicing per Day</t>
  </si>
  <si>
    <t>Pay Amount per day, looks for Per Load or Per Loaded Mile to handle differently</t>
  </si>
  <si>
    <t>Benefits (% of wage)</t>
  </si>
  <si>
    <t>Final Daily Mechanic Cost per Truck</t>
  </si>
  <si>
    <t>Benefits (as percentage of wage)</t>
  </si>
  <si>
    <t>Total Benefits Pay</t>
  </si>
  <si>
    <t>DEFAULT VALUES</t>
  </si>
  <si>
    <t>Mileage, one way</t>
  </si>
  <si>
    <t xml:space="preserve">Saving this form after the defaults have been changed will cause the defaults to be overwritten. Default values can be found on column AH if replacement is warranted. </t>
  </si>
  <si>
    <t>Average Truck Lifespan (years)</t>
  </si>
  <si>
    <t>Average Trailer Lifespan (years)</t>
  </si>
  <si>
    <t>The GATES tool is designed as a way to estimate log truck costs across the US South.</t>
  </si>
  <si>
    <t xml:space="preserve">Results from this tool are estimates for one truck and one trailer. </t>
  </si>
  <si>
    <t>Benefits (% of Wage)</t>
  </si>
  <si>
    <t>Salvage Value New</t>
  </si>
  <si>
    <t>Salvage Value Used</t>
  </si>
  <si>
    <t>Average Truck Purchase Price ($)</t>
  </si>
  <si>
    <t>Truck Salvage Value ($)</t>
  </si>
  <si>
    <t>Average Trailer Purchase Price ($)</t>
  </si>
  <si>
    <t>Interest Rate (APR (%))</t>
  </si>
  <si>
    <t>Driver Pay Method</t>
  </si>
  <si>
    <t>Mechanic Pay Method</t>
  </si>
  <si>
    <t xml:space="preserve">Log trucks are assumed to be heavy-duty trucks and trailers with a total configuration of five axles. </t>
  </si>
  <si>
    <t>Mill Turn-Time</t>
  </si>
  <si>
    <t xml:space="preserve">Woods Turn-Time </t>
  </si>
  <si>
    <t>Woods Turn-Time</t>
  </si>
  <si>
    <t>Per RT Minute</t>
  </si>
  <si>
    <t>Minimum Haul Distance</t>
  </si>
  <si>
    <r>
      <t xml:space="preserve">Mileage, </t>
    </r>
    <r>
      <rPr>
        <b/>
        <i/>
        <u/>
        <sz val="11"/>
        <color theme="1"/>
        <rFont val="Aptos Narrow"/>
        <family val="2"/>
        <scheme val="minor"/>
      </rPr>
      <t>one way</t>
    </r>
  </si>
  <si>
    <t>Average % Loaded Miles</t>
  </si>
  <si>
    <t>Ancillary Miles</t>
  </si>
  <si>
    <t>Ancillary Miles add-on</t>
  </si>
  <si>
    <t>Ancillary Miles Add-On</t>
  </si>
  <si>
    <t>Unloaded Miles</t>
  </si>
  <si>
    <t>Ancillary Mileage</t>
  </si>
  <si>
    <t>Unloaded Miles (%)</t>
  </si>
  <si>
    <t>% Loaded Miles</t>
  </si>
  <si>
    <t>Pay Rate depending on pay style, typically converted to hourly</t>
  </si>
  <si>
    <t>Total Benefits Pay (if applicable)</t>
  </si>
  <si>
    <t xml:space="preserve">Saving this form after the defaults have been changed will cause the defaults to be overwritten. Default values can be found on column AL if replacement is warranted. </t>
  </si>
  <si>
    <t>Overhead Benefits</t>
  </si>
  <si>
    <t xml:space="preserve">Overhead Benefits </t>
  </si>
  <si>
    <t>Overhead Benefits Cost (Unemployment, SS, etc.)</t>
  </si>
  <si>
    <t>Total Labor Cost</t>
  </si>
  <si>
    <t xml:space="preserve">Developed by </t>
  </si>
  <si>
    <t xml:space="preserve">Jack Derochers </t>
  </si>
  <si>
    <t>Dr. Joe Conrad</t>
  </si>
  <si>
    <t>Dr. M. Chad Bolding</t>
  </si>
  <si>
    <t>Dr. Bruno K. da Silva</t>
  </si>
  <si>
    <t xml:space="preserve">Dr. Mathew Smidt </t>
  </si>
  <si>
    <t>Rounds up if another trip does not extend work day more than 2 hours</t>
  </si>
  <si>
    <t>$/mile</t>
  </si>
  <si>
    <t xml:space="preserve">Minor Repair and Maintenance </t>
  </si>
  <si>
    <r>
      <t xml:space="preserve">Based on </t>
    </r>
    <r>
      <rPr>
        <b/>
        <sz val="11"/>
        <color theme="1"/>
        <rFont val="Aptos Narrow"/>
        <family val="2"/>
        <scheme val="minor"/>
      </rPr>
      <t>survey data</t>
    </r>
  </si>
  <si>
    <r>
      <t xml:space="preserve">Based on </t>
    </r>
    <r>
      <rPr>
        <b/>
        <sz val="11"/>
        <color theme="1"/>
        <rFont val="Aptos Narrow"/>
        <family val="2"/>
        <scheme val="minor"/>
      </rPr>
      <t>ATRI 2025</t>
    </r>
  </si>
  <si>
    <t>Average miles/yr</t>
  </si>
  <si>
    <t>GATES_D14 6/17/26</t>
  </si>
  <si>
    <t>GATES_D14 7/17/26</t>
  </si>
  <si>
    <t xml:space="preserve">Dr. Jack Derochers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</si>
</sst>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4" formatCode="_(&quot;$&quot;* #,##0.00_);_(&quot;$&quot;* \(#,##0.00\);_(&quot;$&quot;* &quot;-&quot;??_);_(@_)"/>
    <numFmt numFmtId="164" formatCode="&quot;$&quot;#,##0.00"/>
    <numFmt numFmtId="165" formatCode="_(&quot;$&quot;* #,##0.000_);_(&quot;$&quot;* \(#,##0.000\);_(&quot;$&quot;* &quot;-&quot;??_);_(@_)"/>
    <numFmt numFmtId="166" formatCode="0.0"/>
    <numFmt numFmtId="167" formatCode="0.0%"/>
    <numFmt numFmtId="168" formatCode="&quot;$&quot;#,##0"/>
    <numFmt numFmtId="169" formatCode="0.000"/>
    <numFmt numFmtId="170" formatCode="_(&quot;$&quot;* #,##0.00000_);_(&quot;$&quot;* \(#,##0.00000\);_(&quot;$&quot;* &quot;-&quot;??_);_(@_)"/>
  </numFmts>
  <fonts count="10" x14ac:knownFonts="1">
    <font>
      <sz val="11"/>
      <color theme="1"/>
      <name val="Aptos Narrow"/>
      <family val="2"/>
      <scheme val="minor"/>
    </font>
    <font>
      <b/>
      <sz val="11"/>
      <color theme="1"/>
      <name val="Aptos Narrow"/>
      <family val="2"/>
      <scheme val="minor"/>
    </font>
    <font>
      <i/>
      <sz val="11"/>
      <color theme="1"/>
      <name val="Aptos Narrow"/>
      <family val="2"/>
      <scheme val="minor"/>
    </font>
    <font>
      <sz val="18"/>
      <color theme="1"/>
      <name val="Aptos Narrow"/>
      <family val="2"/>
      <scheme val="minor"/>
    </font>
    <font>
      <b/>
      <i/>
      <sz val="11"/>
      <color theme="1"/>
      <name val="Aptos Narrow"/>
      <family val="2"/>
      <scheme val="minor"/>
    </font>
    <font>
      <strike/>
      <sz val="11"/>
      <color theme="1"/>
      <name val="Aptos Narrow"/>
      <family val="2"/>
      <scheme val="minor"/>
    </font>
    <font>
      <b/>
      <i/>
      <u/>
      <sz val="11"/>
      <color theme="1"/>
      <name val="Aptos Narrow"/>
      <family val="2"/>
      <scheme val="minor"/>
    </font>
    <font>
      <u/>
      <sz val="11"/>
      <color theme="1"/>
      <name val="Aptos Narrow"/>
      <family val="2"/>
      <scheme val="minor"/>
    </font>
    <font>
      <b/>
      <sz val="14"/>
      <color theme="1"/>
      <name val="Aptos Narrow"/>
      <family val="2"/>
      <scheme val="minor"/>
    </font>
    <font>
      <sz val="11"/>
      <color theme="1"/>
      <name val="Aptos Narrow"/>
      <family val="2"/>
      <scheme val="minor"/>
    </font>
  </fonts>
  <fills count="7">
    <fill>
      <patternFill patternType="none"/>
    </fill>
    <fill>
      <patternFill patternType="gray125"/>
    </fill>
    <fill>
      <patternFill patternType="solid">
        <fgColor theme="0"/>
        <bgColor indexed="64"/>
      </patternFill>
    </fill>
    <fill>
      <patternFill patternType="solid">
        <fgColor rgb="FF00FF00"/>
        <bgColor indexed="64"/>
      </patternFill>
    </fill>
    <fill>
      <patternFill patternType="solid">
        <fgColor rgb="FFFFCC66"/>
        <bgColor indexed="64"/>
      </patternFill>
    </fill>
    <fill>
      <patternFill patternType="solid">
        <fgColor rgb="FF99FFCC"/>
        <bgColor indexed="64"/>
      </patternFill>
    </fill>
    <fill>
      <patternFill patternType="solid">
        <fgColor rgb="FFF9F7A9"/>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9" fillId="0" borderId="0" applyFont="0" applyFill="0" applyBorder="0" applyAlignment="0" applyProtection="0"/>
    <xf numFmtId="44" fontId="9" fillId="0" borderId="0" applyFont="0" applyFill="0" applyBorder="0" applyAlignment="0" applyProtection="0"/>
  </cellStyleXfs>
  <cellXfs count="118">
    <xf numFmtId="0" fontId="0" fillId="0" borderId="0" xfId="0"/>
    <xf numFmtId="0" fontId="0" fillId="2" borderId="0" xfId="0" applyFill="1" applyProtection="1">
      <protection locked="0"/>
    </xf>
    <xf numFmtId="0" fontId="0" fillId="0" borderId="0" xfId="0" applyProtection="1">
      <protection locked="0"/>
    </xf>
    <xf numFmtId="0" fontId="1" fillId="2" borderId="0" xfId="0" applyFont="1" applyFill="1" applyProtection="1">
      <protection locked="0"/>
    </xf>
    <xf numFmtId="44" fontId="0" fillId="2" borderId="0" xfId="0" applyNumberFormat="1" applyFill="1" applyProtection="1">
      <protection locked="0"/>
    </xf>
    <xf numFmtId="0" fontId="2" fillId="2" borderId="0" xfId="0" applyFont="1" applyFill="1" applyProtection="1">
      <protection locked="0"/>
    </xf>
    <xf numFmtId="8" fontId="0" fillId="2" borderId="0" xfId="0" applyNumberFormat="1" applyFill="1" applyProtection="1">
      <protection locked="0"/>
    </xf>
    <xf numFmtId="166" fontId="0" fillId="2" borderId="0" xfId="0" applyNumberFormat="1" applyFill="1" applyProtection="1">
      <protection locked="0"/>
    </xf>
    <xf numFmtId="44" fontId="0" fillId="2" borderId="0" xfId="0" applyNumberFormat="1" applyFill="1" applyAlignment="1" applyProtection="1">
      <alignment horizontal="center"/>
      <protection locked="0"/>
    </xf>
    <xf numFmtId="0" fontId="4" fillId="2" borderId="0" xfId="0" applyFont="1" applyFill="1" applyProtection="1">
      <protection locked="0"/>
    </xf>
    <xf numFmtId="9" fontId="0" fillId="2" borderId="0" xfId="0" applyNumberFormat="1" applyFill="1" applyProtection="1">
      <protection locked="0"/>
    </xf>
    <xf numFmtId="2" fontId="0" fillId="2" borderId="0" xfId="0" applyNumberFormat="1" applyFill="1" applyProtection="1">
      <protection locked="0"/>
    </xf>
    <xf numFmtId="165" fontId="0" fillId="2" borderId="0" xfId="0" applyNumberFormat="1" applyFill="1" applyProtection="1">
      <protection locked="0"/>
    </xf>
    <xf numFmtId="0" fontId="0" fillId="2" borderId="2" xfId="0" applyFill="1" applyBorder="1" applyProtection="1">
      <protection locked="0"/>
    </xf>
    <xf numFmtId="2" fontId="0" fillId="2" borderId="0" xfId="0" applyNumberFormat="1" applyFill="1" applyAlignment="1" applyProtection="1">
      <alignment horizontal="center"/>
      <protection locked="0"/>
    </xf>
    <xf numFmtId="166" fontId="0" fillId="2" borderId="0" xfId="0" applyNumberFormat="1" applyFill="1" applyAlignment="1" applyProtection="1">
      <alignment horizontal="center"/>
      <protection locked="0"/>
    </xf>
    <xf numFmtId="1" fontId="0" fillId="2" borderId="0" xfId="0" applyNumberFormat="1" applyFill="1" applyProtection="1">
      <protection locked="0"/>
    </xf>
    <xf numFmtId="0" fontId="5" fillId="2" borderId="0" xfId="0" applyFont="1" applyFill="1" applyProtection="1">
      <protection locked="0"/>
    </xf>
    <xf numFmtId="164" fontId="0" fillId="2" borderId="0" xfId="0" applyNumberFormat="1" applyFill="1" applyProtection="1">
      <protection locked="0"/>
    </xf>
    <xf numFmtId="0" fontId="0" fillId="4" borderId="1"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8" fillId="2" borderId="0" xfId="0" applyFont="1" applyFill="1" applyAlignment="1" applyProtection="1">
      <alignment horizontal="center"/>
      <protection locked="0"/>
    </xf>
    <xf numFmtId="167" fontId="0" fillId="2" borderId="0" xfId="1" applyNumberFormat="1" applyFont="1" applyFill="1" applyProtection="1">
      <protection locked="0"/>
    </xf>
    <xf numFmtId="9" fontId="0" fillId="2" borderId="0" xfId="1" applyFont="1" applyFill="1" applyProtection="1">
      <protection locked="0"/>
    </xf>
    <xf numFmtId="0" fontId="0" fillId="4" borderId="3" xfId="1" applyNumberFormat="1" applyFont="1" applyFill="1" applyBorder="1" applyAlignment="1" applyProtection="1">
      <alignment horizontal="center"/>
      <protection locked="0"/>
    </xf>
    <xf numFmtId="0" fontId="0" fillId="2" borderId="0" xfId="0" applyFill="1" applyAlignment="1" applyProtection="1">
      <alignment horizontal="center"/>
      <protection locked="0"/>
    </xf>
    <xf numFmtId="167" fontId="0" fillId="5" borderId="2" xfId="1" applyNumberFormat="1" applyFont="1" applyFill="1" applyBorder="1" applyProtection="1"/>
    <xf numFmtId="9" fontId="0" fillId="5" borderId="0" xfId="1" applyFont="1" applyFill="1" applyProtection="1"/>
    <xf numFmtId="44" fontId="0" fillId="2" borderId="0" xfId="2" applyFont="1" applyFill="1"/>
    <xf numFmtId="9" fontId="0" fillId="2" borderId="0" xfId="1" applyFont="1" applyFill="1" applyAlignment="1" applyProtection="1">
      <alignment horizontal="center"/>
      <protection locked="0"/>
    </xf>
    <xf numFmtId="1" fontId="0" fillId="2" borderId="0" xfId="1" applyNumberFormat="1" applyFont="1" applyFill="1" applyAlignment="1" applyProtection="1">
      <alignment horizontal="center"/>
      <protection locked="0"/>
    </xf>
    <xf numFmtId="0" fontId="0" fillId="6" borderId="1" xfId="0" applyFill="1" applyBorder="1" applyAlignment="1" applyProtection="1">
      <alignment horizontal="center"/>
      <protection locked="0"/>
    </xf>
    <xf numFmtId="168" fontId="0" fillId="6" borderId="3" xfId="0" applyNumberFormat="1" applyFill="1" applyBorder="1" applyAlignment="1" applyProtection="1">
      <alignment horizontal="center"/>
      <protection locked="0"/>
    </xf>
    <xf numFmtId="3" fontId="0" fillId="6" borderId="3" xfId="0" applyNumberFormat="1" applyFill="1" applyBorder="1" applyAlignment="1" applyProtection="1">
      <alignment horizontal="center"/>
      <protection locked="0"/>
    </xf>
    <xf numFmtId="0" fontId="0" fillId="6" borderId="3" xfId="0" applyFill="1" applyBorder="1" applyAlignment="1" applyProtection="1">
      <alignment horizontal="center"/>
      <protection locked="0"/>
    </xf>
    <xf numFmtId="9" fontId="0" fillId="6" borderId="1" xfId="1" applyFont="1" applyFill="1" applyBorder="1" applyAlignment="1" applyProtection="1">
      <alignment horizontal="center"/>
      <protection locked="0"/>
    </xf>
    <xf numFmtId="0" fontId="0" fillId="2" borderId="1" xfId="0" applyFill="1" applyBorder="1" applyProtection="1">
      <protection locked="0"/>
    </xf>
    <xf numFmtId="0" fontId="0" fillId="6" borderId="3" xfId="0" applyFill="1" applyBorder="1" applyAlignment="1" applyProtection="1">
      <alignment horizontal="center" vertical="center"/>
      <protection locked="0"/>
    </xf>
    <xf numFmtId="0" fontId="0" fillId="0" borderId="1" xfId="0" applyBorder="1" applyProtection="1">
      <protection locked="0"/>
    </xf>
    <xf numFmtId="164" fontId="0" fillId="4" borderId="1" xfId="0" applyNumberFormat="1" applyFill="1" applyBorder="1" applyAlignment="1" applyProtection="1">
      <alignment horizontal="center"/>
      <protection locked="0"/>
    </xf>
    <xf numFmtId="168" fontId="0" fillId="4" borderId="1" xfId="0" applyNumberFormat="1" applyFill="1" applyBorder="1" applyAlignment="1" applyProtection="1">
      <alignment horizontal="center"/>
      <protection locked="0"/>
    </xf>
    <xf numFmtId="168" fontId="0" fillId="2" borderId="0" xfId="0" applyNumberFormat="1" applyFill="1" applyProtection="1">
      <protection locked="0"/>
    </xf>
    <xf numFmtId="164" fontId="0" fillId="2" borderId="0" xfId="2" applyNumberFormat="1" applyFont="1" applyFill="1" applyAlignment="1" applyProtection="1">
      <alignment horizontal="center"/>
      <protection locked="0"/>
    </xf>
    <xf numFmtId="164" fontId="0" fillId="2" borderId="0" xfId="0" applyNumberFormat="1" applyFill="1" applyAlignment="1" applyProtection="1">
      <alignment horizontal="center"/>
      <protection locked="0"/>
    </xf>
    <xf numFmtId="0" fontId="0" fillId="2" borderId="3" xfId="0" applyFill="1" applyBorder="1" applyAlignment="1" applyProtection="1">
      <alignment horizontal="center"/>
      <protection locked="0"/>
    </xf>
    <xf numFmtId="0" fontId="0" fillId="2" borderId="3" xfId="0" applyFill="1" applyBorder="1" applyProtection="1">
      <protection locked="0"/>
    </xf>
    <xf numFmtId="0" fontId="0" fillId="2" borderId="1" xfId="0" applyFill="1" applyBorder="1" applyAlignment="1" applyProtection="1">
      <alignment horizontal="center"/>
      <protection locked="0"/>
    </xf>
    <xf numFmtId="0" fontId="2" fillId="2"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protection locked="0"/>
    </xf>
    <xf numFmtId="167" fontId="0" fillId="6" borderId="3" xfId="1" applyNumberFormat="1" applyFont="1" applyFill="1" applyBorder="1" applyAlignment="1" applyProtection="1">
      <alignment horizontal="center"/>
      <protection locked="0"/>
    </xf>
    <xf numFmtId="166" fontId="0" fillId="6" borderId="1" xfId="0" applyNumberFormat="1" applyFill="1" applyBorder="1" applyAlignment="1" applyProtection="1">
      <alignment horizontal="center"/>
      <protection locked="0"/>
    </xf>
    <xf numFmtId="9" fontId="0" fillId="4" borderId="3" xfId="1" applyFont="1" applyFill="1" applyBorder="1" applyAlignment="1" applyProtection="1">
      <alignment horizontal="center"/>
      <protection locked="0"/>
    </xf>
    <xf numFmtId="0" fontId="0" fillId="2" borderId="0" xfId="0" applyFill="1"/>
    <xf numFmtId="0" fontId="0" fillId="4" borderId="1" xfId="0" applyFill="1" applyBorder="1" applyAlignment="1">
      <alignment horizontal="center"/>
    </xf>
    <xf numFmtId="0" fontId="0" fillId="2" borderId="3" xfId="0" applyFill="1" applyBorder="1"/>
    <xf numFmtId="0" fontId="0" fillId="2" borderId="0" xfId="0" applyFill="1" applyAlignment="1">
      <alignment horizontal="center"/>
    </xf>
    <xf numFmtId="164" fontId="0" fillId="4" borderId="3" xfId="0" applyNumberFormat="1" applyFill="1" applyBorder="1" applyAlignment="1">
      <alignment horizontal="center"/>
    </xf>
    <xf numFmtId="0" fontId="4" fillId="2" borderId="0" xfId="0" applyFont="1" applyFill="1"/>
    <xf numFmtId="0" fontId="0" fillId="2" borderId="1" xfId="0" applyFill="1" applyBorder="1"/>
    <xf numFmtId="168" fontId="0" fillId="4" borderId="3" xfId="0" applyNumberFormat="1" applyFill="1" applyBorder="1" applyAlignment="1">
      <alignment horizontal="center"/>
    </xf>
    <xf numFmtId="0" fontId="0" fillId="2" borderId="1" xfId="0" applyFill="1" applyBorder="1" applyAlignment="1">
      <alignment horizontal="center"/>
    </xf>
    <xf numFmtId="0" fontId="0" fillId="4" borderId="3" xfId="0" applyFill="1" applyBorder="1" applyAlignment="1">
      <alignment horizontal="center"/>
    </xf>
    <xf numFmtId="0" fontId="2" fillId="2" borderId="0" xfId="0" applyFont="1" applyFill="1"/>
    <xf numFmtId="0" fontId="2" fillId="2" borderId="1" xfId="0" applyFont="1" applyFill="1" applyBorder="1" applyAlignment="1">
      <alignment horizontal="center"/>
    </xf>
    <xf numFmtId="9" fontId="0" fillId="4" borderId="3" xfId="1" applyFont="1" applyFill="1" applyBorder="1" applyAlignment="1" applyProtection="1">
      <alignment horizontal="center"/>
    </xf>
    <xf numFmtId="8" fontId="0" fillId="2" borderId="0" xfId="0" applyNumberFormat="1" applyFill="1"/>
    <xf numFmtId="0" fontId="1" fillId="2" borderId="0" xfId="0" applyFont="1" applyFill="1"/>
    <xf numFmtId="0" fontId="5" fillId="2" borderId="0" xfId="0" applyFont="1" applyFill="1"/>
    <xf numFmtId="0" fontId="8" fillId="2" borderId="0" xfId="0" applyFont="1" applyFill="1" applyAlignment="1">
      <alignment horizontal="center"/>
    </xf>
    <xf numFmtId="0" fontId="6" fillId="0" borderId="0" xfId="0" applyFont="1"/>
    <xf numFmtId="0" fontId="7" fillId="2" borderId="0" xfId="0" applyFont="1" applyFill="1"/>
    <xf numFmtId="0" fontId="0" fillId="2" borderId="0" xfId="0" applyFill="1" applyAlignment="1">
      <alignment horizontal="left"/>
    </xf>
    <xf numFmtId="0" fontId="0" fillId="3" borderId="0" xfId="0" applyFill="1" applyAlignment="1">
      <alignment horizontal="center"/>
    </xf>
    <xf numFmtId="166" fontId="0" fillId="3" borderId="0" xfId="0" applyNumberFormat="1" applyFill="1" applyAlignment="1">
      <alignment horizontal="center"/>
    </xf>
    <xf numFmtId="0" fontId="6" fillId="2" borderId="0" xfId="0" applyFont="1" applyFill="1"/>
    <xf numFmtId="0" fontId="0" fillId="5" borderId="0" xfId="0" applyFill="1"/>
    <xf numFmtId="0" fontId="0" fillId="2" borderId="2" xfId="0" applyFill="1" applyBorder="1"/>
    <xf numFmtId="44" fontId="0" fillId="2" borderId="2" xfId="0" applyNumberFormat="1" applyFill="1" applyBorder="1"/>
    <xf numFmtId="44" fontId="0" fillId="2" borderId="0" xfId="0" applyNumberFormat="1" applyFill="1"/>
    <xf numFmtId="44" fontId="0" fillId="2" borderId="4" xfId="0" applyNumberFormat="1" applyFill="1" applyBorder="1"/>
    <xf numFmtId="44" fontId="0" fillId="3" borderId="0" xfId="0" applyNumberFormat="1" applyFill="1"/>
    <xf numFmtId="44" fontId="0" fillId="3" borderId="0" xfId="0" applyNumberFormat="1" applyFill="1" applyAlignment="1">
      <alignment horizontal="center"/>
    </xf>
    <xf numFmtId="2" fontId="0" fillId="2" borderId="0" xfId="0" applyNumberFormat="1" applyFill="1"/>
    <xf numFmtId="0" fontId="0" fillId="2" borderId="0" xfId="1" applyNumberFormat="1" applyFont="1" applyFill="1" applyProtection="1"/>
    <xf numFmtId="0" fontId="1" fillId="2" borderId="5" xfId="0" applyFont="1" applyFill="1" applyBorder="1" applyProtection="1">
      <protection locked="0"/>
    </xf>
    <xf numFmtId="0" fontId="0" fillId="2" borderId="4" xfId="0" applyFill="1" applyBorder="1" applyProtection="1">
      <protection locked="0"/>
    </xf>
    <xf numFmtId="0" fontId="0" fillId="2" borderId="6"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1" fillId="2" borderId="7" xfId="0" applyFont="1" applyFill="1" applyBorder="1" applyProtection="1">
      <protection locked="0"/>
    </xf>
    <xf numFmtId="0" fontId="2" fillId="2" borderId="0" xfId="0" applyFont="1" applyFill="1" applyAlignment="1" applyProtection="1">
      <alignment horizontal="right"/>
      <protection locked="0"/>
    </xf>
    <xf numFmtId="0" fontId="2" fillId="2" borderId="7" xfId="0" applyFont="1" applyFill="1" applyBorder="1" applyProtection="1">
      <protection locked="0"/>
    </xf>
    <xf numFmtId="9" fontId="0" fillId="2" borderId="0" xfId="1" applyFont="1" applyFill="1" applyBorder="1" applyProtection="1">
      <protection locked="0"/>
    </xf>
    <xf numFmtId="0" fontId="0" fillId="0" borderId="7" xfId="0" applyBorder="1" applyProtection="1">
      <protection locked="0"/>
    </xf>
    <xf numFmtId="166" fontId="0" fillId="0" borderId="0" xfId="0" applyNumberFormat="1" applyProtection="1">
      <protection locked="0"/>
    </xf>
    <xf numFmtId="0" fontId="0" fillId="2" borderId="9" xfId="0" applyFill="1" applyBorder="1" applyProtection="1">
      <protection locked="0"/>
    </xf>
    <xf numFmtId="0" fontId="0" fillId="2" borderId="10" xfId="0" applyFill="1" applyBorder="1" applyProtection="1">
      <protection locked="0"/>
    </xf>
    <xf numFmtId="0" fontId="1" fillId="2" borderId="2" xfId="0" applyFont="1" applyFill="1" applyBorder="1" applyProtection="1">
      <protection locked="0"/>
    </xf>
    <xf numFmtId="0" fontId="2" fillId="2" borderId="8" xfId="0" applyFont="1" applyFill="1" applyBorder="1" applyAlignment="1" applyProtection="1">
      <alignment horizontal="right"/>
      <protection locked="0"/>
    </xf>
    <xf numFmtId="2" fontId="0" fillId="2" borderId="0" xfId="0" applyNumberFormat="1" applyFill="1" applyAlignment="1" applyProtection="1">
      <alignment horizontal="right"/>
      <protection locked="0"/>
    </xf>
    <xf numFmtId="0" fontId="0" fillId="2" borderId="0" xfId="0" applyFill="1" applyAlignment="1" applyProtection="1">
      <alignment horizontal="right"/>
      <protection locked="0"/>
    </xf>
    <xf numFmtId="1" fontId="0" fillId="2" borderId="0" xfId="0" applyNumberFormat="1" applyFill="1" applyAlignment="1" applyProtection="1">
      <alignment horizontal="right"/>
      <protection locked="0"/>
    </xf>
    <xf numFmtId="44" fontId="0" fillId="2" borderId="0" xfId="0" applyNumberFormat="1" applyFill="1" applyAlignment="1" applyProtection="1">
      <alignment horizontal="right"/>
      <protection locked="0"/>
    </xf>
    <xf numFmtId="4" fontId="0" fillId="2" borderId="0" xfId="0" applyNumberFormat="1" applyFill="1" applyProtection="1">
      <protection locked="0"/>
    </xf>
    <xf numFmtId="9" fontId="0" fillId="2" borderId="1" xfId="0" applyNumberFormat="1" applyFill="1" applyBorder="1" applyProtection="1">
      <protection locked="0"/>
    </xf>
    <xf numFmtId="0" fontId="0" fillId="2" borderId="0" xfId="0" applyFill="1" applyAlignment="1" applyProtection="1">
      <alignment horizontal="left" vertical="center"/>
      <protection locked="0"/>
    </xf>
    <xf numFmtId="167" fontId="0" fillId="2" borderId="0" xfId="1" applyNumberFormat="1" applyFont="1" applyFill="1" applyBorder="1" applyProtection="1"/>
    <xf numFmtId="44" fontId="0" fillId="2" borderId="0" xfId="0" applyNumberFormat="1" applyFill="1" applyAlignment="1">
      <alignment horizontal="center"/>
    </xf>
    <xf numFmtId="9" fontId="0" fillId="2" borderId="0" xfId="1" applyFont="1" applyFill="1" applyBorder="1" applyProtection="1"/>
    <xf numFmtId="2" fontId="0" fillId="2" borderId="0" xfId="0" applyNumberFormat="1" applyFill="1" applyAlignment="1">
      <alignment horizontal="center"/>
    </xf>
    <xf numFmtId="3" fontId="0" fillId="2" borderId="8" xfId="0" applyNumberFormat="1" applyFill="1" applyBorder="1" applyProtection="1">
      <protection locked="0"/>
    </xf>
    <xf numFmtId="0" fontId="2" fillId="2" borderId="8" xfId="0" applyFont="1" applyFill="1" applyBorder="1" applyProtection="1">
      <protection locked="0"/>
    </xf>
    <xf numFmtId="169" fontId="0" fillId="2" borderId="8" xfId="0" applyNumberFormat="1" applyFill="1" applyBorder="1" applyProtection="1">
      <protection locked="0"/>
    </xf>
    <xf numFmtId="169" fontId="0" fillId="2" borderId="0" xfId="0" applyNumberFormat="1" applyFill="1" applyProtection="1">
      <protection locked="0"/>
    </xf>
    <xf numFmtId="170" fontId="0" fillId="2" borderId="0" xfId="2" applyNumberFormat="1" applyFont="1" applyFill="1"/>
    <xf numFmtId="3" fontId="0" fillId="4" borderId="3" xfId="0" applyNumberFormat="1" applyFill="1" applyBorder="1" applyAlignment="1">
      <alignment horizontal="center"/>
    </xf>
    <xf numFmtId="0" fontId="3" fillId="2" borderId="0" xfId="0" applyFont="1" applyFill="1" applyAlignment="1">
      <alignment horizontal="center"/>
    </xf>
    <xf numFmtId="0" fontId="0" fillId="2" borderId="0" xfId="0" applyFill="1" applyAlignment="1">
      <alignment horizontal="center"/>
    </xf>
  </cellXfs>
  <cellStyles count="3">
    <cellStyle name="Currency" xfId="2" builtinId="4"/>
    <cellStyle name="Normal" xfId="0" builtinId="0"/>
    <cellStyle name="Percent" xfId="1" builtinId="5"/>
  </cellStyles>
  <dxfs count="0"/>
  <tableStyles count="0" defaultTableStyle="TableStyleMedium2" defaultPivotStyle="PivotStyleLight16"/>
  <colors>
    <mruColors>
      <color rgb="FFFFCC66"/>
      <color rgb="FFF9F7A9"/>
      <color rgb="FFE9EAB6"/>
      <color rgb="FF00FF00"/>
      <color rgb="FF99FFCC"/>
      <color rgb="FF66FF99"/>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523875</xdr:colOff>
      <xdr:row>0</xdr:row>
      <xdr:rowOff>0</xdr:rowOff>
    </xdr:from>
    <xdr:to>
      <xdr:col>10</xdr:col>
      <xdr:colOff>964320</xdr:colOff>
      <xdr:row>6</xdr:row>
      <xdr:rowOff>1057</xdr:rowOff>
    </xdr:to>
    <xdr:pic>
      <xdr:nvPicPr>
        <xdr:cNvPr id="2" name="Picture 1">
          <a:extLst>
            <a:ext uri="{FF2B5EF4-FFF2-40B4-BE49-F238E27FC236}">
              <a16:creationId xmlns:a16="http://schemas.microsoft.com/office/drawing/2014/main" id="{06C72343-CB69-4D29-81AD-98069D48926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115" b="27354"/>
        <a:stretch/>
      </xdr:blipFill>
      <xdr:spPr>
        <a:xfrm>
          <a:off x="4638675" y="0"/>
          <a:ext cx="2961394" cy="1244070"/>
        </a:xfrm>
        <a:prstGeom prst="rect">
          <a:avLst/>
        </a:prstGeom>
      </xdr:spPr>
    </xdr:pic>
    <xdr:clientData/>
  </xdr:twoCellAnchor>
  <xdr:twoCellAnchor editAs="oneCell">
    <xdr:from>
      <xdr:col>11</xdr:col>
      <xdr:colOff>10584</xdr:colOff>
      <xdr:row>0</xdr:row>
      <xdr:rowOff>142874</xdr:rowOff>
    </xdr:from>
    <xdr:to>
      <xdr:col>12</xdr:col>
      <xdr:colOff>140880</xdr:colOff>
      <xdr:row>5</xdr:row>
      <xdr:rowOff>153436</xdr:rowOff>
    </xdr:to>
    <xdr:pic>
      <xdr:nvPicPr>
        <xdr:cNvPr id="3" name="Picture 2">
          <a:extLst>
            <a:ext uri="{FF2B5EF4-FFF2-40B4-BE49-F238E27FC236}">
              <a16:creationId xmlns:a16="http://schemas.microsoft.com/office/drawing/2014/main" id="{FBCB822C-7346-4E38-A8BC-C2FDB164B2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24876" y="142874"/>
          <a:ext cx="913463" cy="1021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559154</xdr:colOff>
      <xdr:row>0</xdr:row>
      <xdr:rowOff>8995</xdr:rowOff>
    </xdr:from>
    <xdr:to>
      <xdr:col>10</xdr:col>
      <xdr:colOff>840317</xdr:colOff>
      <xdr:row>6</xdr:row>
      <xdr:rowOff>527</xdr:rowOff>
    </xdr:to>
    <xdr:pic>
      <xdr:nvPicPr>
        <xdr:cNvPr id="2" name="Picture 1">
          <a:extLst>
            <a:ext uri="{FF2B5EF4-FFF2-40B4-BE49-F238E27FC236}">
              <a16:creationId xmlns:a16="http://schemas.microsoft.com/office/drawing/2014/main" id="{FCA2B9CB-0DD7-461B-93BD-CA4CC2CF1E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115" b="27354"/>
        <a:stretch/>
      </xdr:blipFill>
      <xdr:spPr>
        <a:xfrm>
          <a:off x="5279321" y="8995"/>
          <a:ext cx="3197401" cy="1182687"/>
        </a:xfrm>
        <a:prstGeom prst="rect">
          <a:avLst/>
        </a:prstGeom>
      </xdr:spPr>
    </xdr:pic>
    <xdr:clientData/>
  </xdr:twoCellAnchor>
  <xdr:twoCellAnchor editAs="oneCell">
    <xdr:from>
      <xdr:col>10</xdr:col>
      <xdr:colOff>917235</xdr:colOff>
      <xdr:row>0</xdr:row>
      <xdr:rowOff>140198</xdr:rowOff>
    </xdr:from>
    <xdr:to>
      <xdr:col>12</xdr:col>
      <xdr:colOff>112729</xdr:colOff>
      <xdr:row>5</xdr:row>
      <xdr:rowOff>143704</xdr:rowOff>
    </xdr:to>
    <xdr:pic>
      <xdr:nvPicPr>
        <xdr:cNvPr id="4" name="Picture 3">
          <a:extLst>
            <a:ext uri="{FF2B5EF4-FFF2-40B4-BE49-F238E27FC236}">
              <a16:creationId xmlns:a16="http://schemas.microsoft.com/office/drawing/2014/main" id="{79E74980-B1E0-BB40-8F72-41C7F8D2C9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65401" y="140198"/>
          <a:ext cx="913937" cy="10203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2539C-A9C6-48AF-B65A-2A307F38D103}">
  <sheetPr codeName="Sheet1"/>
  <dimension ref="A1:DS102"/>
  <sheetViews>
    <sheetView tabSelected="1" zoomScale="90" zoomScaleNormal="90" workbookViewId="0"/>
  </sheetViews>
  <sheetFormatPr defaultColWidth="9.1328125" defaultRowHeight="14.25" x14ac:dyDescent="0.45"/>
  <cols>
    <col min="1" max="1" width="9.1328125" style="2"/>
    <col min="2" max="3" width="9.1328125" style="2" customWidth="1"/>
    <col min="4" max="4" width="16" style="2" bestFit="1" customWidth="1"/>
    <col min="5" max="5" width="14.19921875" style="2" customWidth="1"/>
    <col min="6" max="9" width="9.1328125" style="2"/>
    <col min="10" max="10" width="11.265625" style="2" customWidth="1"/>
    <col min="11" max="11" width="13.9296875" style="2" customWidth="1"/>
    <col min="12" max="12" width="10.9296875" style="2" customWidth="1"/>
    <col min="13" max="13" width="9.1328125" style="2"/>
    <col min="14" max="14" width="11.9296875" style="2" customWidth="1"/>
    <col min="15" max="15" width="10.73046875" style="2" customWidth="1"/>
    <col min="16" max="16" width="10.19921875" style="2" bestFit="1" customWidth="1"/>
    <col min="17" max="24" width="9.1328125" style="2"/>
    <col min="25" max="25" width="12" style="2" customWidth="1"/>
    <col min="26" max="26" width="13.265625" style="2" customWidth="1"/>
    <col min="27" max="27" width="9.59765625" style="2" customWidth="1"/>
    <col min="28" max="35" width="9.1328125" style="2"/>
    <col min="36" max="36" width="12.265625" style="2" customWidth="1"/>
    <col min="37" max="37" width="9.796875" style="2" bestFit="1" customWidth="1"/>
    <col min="38" max="43" width="9.1328125" style="2"/>
    <col min="44" max="44" width="13.59765625" style="2" customWidth="1"/>
    <col min="45" max="54" width="9.1328125" style="2"/>
    <col min="55" max="55" width="18.73046875" style="2" customWidth="1"/>
    <col min="56" max="56" width="12.33203125" style="2" bestFit="1" customWidth="1"/>
    <col min="57" max="57" width="15.86328125" style="2" customWidth="1"/>
    <col min="58" max="58" width="9.1328125" style="2"/>
    <col min="59" max="60" width="11.6640625" style="2" customWidth="1"/>
    <col min="61" max="66" width="9.1328125" style="2"/>
    <col min="67" max="67" width="14.33203125" style="2" customWidth="1"/>
    <col min="68" max="69" width="9.1328125" style="2"/>
    <col min="70" max="70" width="19.796875" style="2" customWidth="1"/>
    <col min="71" max="90" width="9.1328125" style="2"/>
    <col min="91" max="91" width="11.6640625" style="2" customWidth="1"/>
    <col min="92" max="92" width="11.53125" style="2" customWidth="1"/>
    <col min="93" max="16384" width="9.1328125" style="2"/>
  </cols>
  <sheetData>
    <row r="1" spans="1:123" x14ac:dyDescent="0.45">
      <c r="A1" s="52"/>
      <c r="B1" s="52"/>
      <c r="C1" s="52"/>
      <c r="D1" s="52"/>
      <c r="E1" s="52"/>
      <c r="F1" s="52"/>
      <c r="G1" s="52"/>
      <c r="H1" s="52"/>
      <c r="I1" s="52"/>
      <c r="J1" s="52"/>
      <c r="K1" s="52"/>
      <c r="L1" s="52"/>
      <c r="M1" s="52"/>
      <c r="N1" s="52"/>
      <c r="O1" s="52"/>
      <c r="P1" s="52"/>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row>
    <row r="2" spans="1:123" ht="23.25" x14ac:dyDescent="0.7">
      <c r="A2" s="52"/>
      <c r="B2" s="52"/>
      <c r="C2" s="52"/>
      <c r="D2" s="116" t="s">
        <v>0</v>
      </c>
      <c r="E2" s="116"/>
      <c r="F2" s="116"/>
      <c r="G2" s="52"/>
      <c r="H2" s="52"/>
      <c r="I2" s="52"/>
      <c r="J2" s="52"/>
      <c r="K2" s="52"/>
      <c r="L2" s="52"/>
      <c r="M2" s="52"/>
      <c r="N2" s="52"/>
      <c r="O2" s="52"/>
      <c r="P2" s="52"/>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row>
    <row r="3" spans="1:123" x14ac:dyDescent="0.45">
      <c r="A3" s="52"/>
      <c r="B3" s="52"/>
      <c r="C3" s="117" t="s">
        <v>1</v>
      </c>
      <c r="D3" s="117"/>
      <c r="E3" s="117"/>
      <c r="F3" s="117"/>
      <c r="G3" s="117"/>
      <c r="H3" s="52"/>
      <c r="I3" s="52"/>
      <c r="J3" s="52"/>
      <c r="K3" s="52"/>
      <c r="L3" s="52"/>
      <c r="M3" s="52"/>
      <c r="N3" s="52"/>
      <c r="O3" s="52"/>
      <c r="P3" s="52"/>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row>
    <row r="4" spans="1:123" x14ac:dyDescent="0.45">
      <c r="A4" s="52"/>
      <c r="B4" s="52"/>
      <c r="C4" s="117" t="s">
        <v>118</v>
      </c>
      <c r="D4" s="117"/>
      <c r="E4" s="117"/>
      <c r="F4" s="117"/>
      <c r="G4" s="117"/>
      <c r="H4" s="52"/>
      <c r="I4" s="52"/>
      <c r="J4" s="52"/>
      <c r="K4" s="52"/>
      <c r="L4" s="52"/>
      <c r="M4" s="52"/>
      <c r="N4" s="52"/>
      <c r="O4" s="52"/>
      <c r="P4" s="52"/>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row>
    <row r="5" spans="1:123" x14ac:dyDescent="0.45">
      <c r="A5" s="52"/>
      <c r="B5" s="52"/>
      <c r="C5" s="55"/>
      <c r="D5" s="55"/>
      <c r="E5" s="55"/>
      <c r="F5" s="55"/>
      <c r="G5" s="55"/>
      <c r="H5" s="52"/>
      <c r="I5" s="52"/>
      <c r="J5" s="52"/>
      <c r="K5" s="52"/>
      <c r="L5" s="52"/>
      <c r="M5" s="52"/>
      <c r="N5" s="52"/>
      <c r="O5" s="52"/>
      <c r="P5" s="52"/>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row>
    <row r="6" spans="1:123" x14ac:dyDescent="0.45">
      <c r="A6" s="52"/>
      <c r="B6" s="52" t="s">
        <v>164</v>
      </c>
      <c r="C6" s="52"/>
      <c r="D6" s="52"/>
      <c r="E6" s="52"/>
      <c r="F6" s="52"/>
      <c r="G6" s="52"/>
      <c r="H6" s="52"/>
      <c r="I6" s="52"/>
      <c r="J6" s="52"/>
      <c r="K6" s="52"/>
      <c r="L6" s="52"/>
      <c r="M6" s="52"/>
      <c r="N6" s="52"/>
      <c r="O6" s="52"/>
      <c r="P6" s="52"/>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row>
    <row r="7" spans="1:123" x14ac:dyDescent="0.45">
      <c r="A7" s="52"/>
      <c r="B7" s="52" t="s">
        <v>56</v>
      </c>
      <c r="C7" s="52"/>
      <c r="D7" s="52"/>
      <c r="E7" s="52"/>
      <c r="F7" s="52"/>
      <c r="G7" s="52"/>
      <c r="H7" s="52"/>
      <c r="I7" s="52"/>
      <c r="J7" s="52"/>
      <c r="K7" s="52"/>
      <c r="L7" s="52"/>
      <c r="M7" s="52"/>
      <c r="N7" s="52"/>
      <c r="O7" s="52"/>
      <c r="P7" s="52"/>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row>
    <row r="8" spans="1:123" x14ac:dyDescent="0.45">
      <c r="A8" s="52"/>
      <c r="B8" s="52" t="s">
        <v>161</v>
      </c>
      <c r="C8" s="52"/>
      <c r="D8" s="52"/>
      <c r="E8" s="52"/>
      <c r="F8" s="52"/>
      <c r="G8" s="52"/>
      <c r="H8" s="52"/>
      <c r="I8" s="52"/>
      <c r="J8" s="52"/>
      <c r="K8" s="52"/>
      <c r="L8" s="52"/>
      <c r="M8" s="52"/>
      <c r="N8" s="52"/>
      <c r="O8" s="52"/>
      <c r="P8" s="52"/>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row>
    <row r="9" spans="1:123" x14ac:dyDescent="0.45">
      <c r="A9" s="52"/>
      <c r="B9" t="s">
        <v>175</v>
      </c>
      <c r="C9" s="52"/>
      <c r="D9" s="52"/>
      <c r="E9" s="52"/>
      <c r="F9" s="52"/>
      <c r="G9" s="52"/>
      <c r="H9" s="52"/>
      <c r="I9" s="52"/>
      <c r="J9" s="52"/>
      <c r="K9" s="52"/>
      <c r="L9" s="52"/>
      <c r="M9" s="52"/>
      <c r="N9" s="52"/>
      <c r="O9" s="52"/>
      <c r="P9" s="52"/>
      <c r="Q9" s="1"/>
      <c r="R9" s="1"/>
      <c r="S9" s="23"/>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row>
    <row r="10" spans="1:123" x14ac:dyDescent="0.45">
      <c r="A10" s="52"/>
      <c r="B10" s="66" t="s">
        <v>165</v>
      </c>
      <c r="C10" s="52"/>
      <c r="D10" s="52"/>
      <c r="E10" s="52"/>
      <c r="F10" s="52"/>
      <c r="G10" s="52"/>
      <c r="H10" s="52"/>
      <c r="I10" s="52"/>
      <c r="J10" s="52"/>
      <c r="K10" s="52"/>
      <c r="L10" s="52"/>
      <c r="M10" s="52"/>
      <c r="N10" s="52"/>
      <c r="O10" s="52"/>
      <c r="P10" s="52"/>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row>
    <row r="11" spans="1:123" x14ac:dyDescent="0.45">
      <c r="A11" s="52"/>
      <c r="B11" s="52"/>
      <c r="C11" s="52"/>
      <c r="D11" s="52"/>
      <c r="E11" s="52"/>
      <c r="F11" s="52"/>
      <c r="G11" s="52"/>
      <c r="H11" s="52"/>
      <c r="I11" s="52"/>
      <c r="J11" s="52"/>
      <c r="K11" s="52"/>
      <c r="L11" s="52"/>
      <c r="M11" s="52"/>
      <c r="N11" s="52"/>
      <c r="O11" s="52"/>
      <c r="P11" s="52"/>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row>
    <row r="12" spans="1:123" ht="18" x14ac:dyDescent="0.55000000000000004">
      <c r="A12" s="52"/>
      <c r="B12" s="52"/>
      <c r="C12" s="52"/>
      <c r="D12" s="21" t="s">
        <v>60</v>
      </c>
      <c r="E12" s="52"/>
      <c r="F12" s="52"/>
      <c r="G12" s="52"/>
      <c r="H12" s="52"/>
      <c r="I12" s="68" t="s">
        <v>61</v>
      </c>
      <c r="J12" s="52"/>
      <c r="K12" s="52"/>
      <c r="L12" s="52"/>
      <c r="M12" s="52"/>
      <c r="N12" s="52"/>
      <c r="O12" s="52"/>
      <c r="P12" s="52"/>
      <c r="Q12" s="52"/>
      <c r="R12" s="52"/>
      <c r="S12" s="52"/>
      <c r="T12" s="52"/>
      <c r="U12" s="52"/>
      <c r="V12" s="52"/>
      <c r="W12" s="52"/>
      <c r="X12" s="52"/>
      <c r="Y12" s="52"/>
      <c r="Z12" s="1"/>
      <c r="AA12" s="1"/>
      <c r="AB12" s="1"/>
      <c r="AC12" s="1"/>
      <c r="AD12" s="1"/>
      <c r="AE12" s="1"/>
      <c r="AF12" s="1"/>
      <c r="AG12" s="1"/>
      <c r="AH12" s="3" t="s">
        <v>159</v>
      </c>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row>
    <row r="13" spans="1:123" x14ac:dyDescent="0.45">
      <c r="A13" s="52"/>
      <c r="B13" s="52"/>
      <c r="C13" s="52"/>
      <c r="D13" s="38"/>
      <c r="E13" s="52"/>
      <c r="F13" s="52"/>
      <c r="G13" s="52"/>
      <c r="H13" s="52"/>
      <c r="I13" s="52"/>
      <c r="J13" s="52"/>
      <c r="K13" s="52"/>
      <c r="L13" s="52"/>
      <c r="M13" s="52"/>
      <c r="N13" s="52"/>
      <c r="O13"/>
      <c r="P13" s="52"/>
      <c r="Q13" s="52"/>
      <c r="R13" s="52"/>
      <c r="S13" s="52"/>
      <c r="T13" s="52"/>
      <c r="U13" s="52"/>
      <c r="V13" s="52"/>
      <c r="W13" s="52"/>
      <c r="X13" s="52"/>
      <c r="Y13" s="52"/>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3" t="s">
        <v>70</v>
      </c>
      <c r="BD13" s="1"/>
      <c r="BE13" s="1"/>
      <c r="BF13" s="1"/>
      <c r="BG13" s="1"/>
      <c r="BH13" s="1"/>
      <c r="BI13" s="1"/>
      <c r="BJ13" s="1"/>
      <c r="BK13" s="1"/>
      <c r="BL13" s="1"/>
      <c r="BM13" s="1"/>
      <c r="BN13" s="1"/>
      <c r="BO13" s="97" t="s">
        <v>108</v>
      </c>
      <c r="BP13" s="13"/>
      <c r="BQ13" s="85"/>
      <c r="BR13" s="85"/>
      <c r="BS13" s="85"/>
      <c r="BT13" s="85"/>
      <c r="BU13" s="85"/>
      <c r="BV13" s="86"/>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row>
    <row r="14" spans="1:123" x14ac:dyDescent="0.45">
      <c r="A14" s="52" t="s">
        <v>62</v>
      </c>
      <c r="B14" s="52"/>
      <c r="C14" s="52"/>
      <c r="D14" s="19">
        <v>50</v>
      </c>
      <c r="E14" s="52"/>
      <c r="F14" s="52"/>
      <c r="G14" s="52"/>
      <c r="H14" s="52"/>
      <c r="I14" s="69" t="s">
        <v>134</v>
      </c>
      <c r="J14" s="52"/>
      <c r="K14" s="52"/>
      <c r="L14" s="52"/>
      <c r="M14" s="52"/>
      <c r="N14" s="52"/>
      <c r="O14" s="52"/>
      <c r="P14" s="52"/>
      <c r="Q14" s="52"/>
      <c r="R14" s="52"/>
      <c r="S14" s="52"/>
      <c r="T14" s="52"/>
      <c r="U14" s="52"/>
      <c r="V14" s="52"/>
      <c r="W14" s="52"/>
      <c r="X14" s="52"/>
      <c r="Y14" s="52"/>
      <c r="Z14" s="1"/>
      <c r="AA14" s="1"/>
      <c r="AB14" s="1"/>
      <c r="AC14" s="1"/>
      <c r="AD14" s="1"/>
      <c r="AE14" s="1"/>
      <c r="AF14" s="1"/>
      <c r="AG14" s="1"/>
      <c r="AH14" s="1" t="s">
        <v>62</v>
      </c>
      <c r="AI14" s="1"/>
      <c r="AJ14" s="1"/>
      <c r="AK14" s="25">
        <v>50</v>
      </c>
      <c r="AL14" s="1"/>
      <c r="AM14" s="1"/>
      <c r="AN14" s="1"/>
      <c r="AO14" s="1"/>
      <c r="AP14" s="1"/>
      <c r="AQ14" s="1"/>
      <c r="AR14" s="1"/>
      <c r="AS14" s="1"/>
      <c r="AT14" s="1"/>
      <c r="AU14" s="1"/>
      <c r="AV14" s="1"/>
      <c r="AW14" s="1"/>
      <c r="AX14" s="1"/>
      <c r="AY14" s="1"/>
      <c r="AZ14" s="1"/>
      <c r="BA14" s="1"/>
      <c r="BB14" s="1"/>
      <c r="BC14" s="1"/>
      <c r="BD14" s="1"/>
      <c r="BE14" s="1" t="s">
        <v>50</v>
      </c>
      <c r="BF14" s="1"/>
      <c r="BG14" s="1"/>
      <c r="BH14" s="1"/>
      <c r="BI14" s="1"/>
      <c r="BJ14" s="1"/>
      <c r="BK14" s="1"/>
      <c r="BL14" s="1"/>
      <c r="BM14" s="1"/>
      <c r="BN14" s="1"/>
      <c r="BO14" s="87" t="s">
        <v>71</v>
      </c>
      <c r="BP14" s="1">
        <v>50</v>
      </c>
      <c r="BQ14" s="1"/>
      <c r="BR14" s="1"/>
      <c r="BS14" s="1"/>
      <c r="BT14" s="1"/>
      <c r="BU14" s="1"/>
      <c r="BV14" s="88"/>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row>
    <row r="15" spans="1:123" x14ac:dyDescent="0.45">
      <c r="A15" s="52" t="s">
        <v>42</v>
      </c>
      <c r="B15" s="52"/>
      <c r="C15" s="52"/>
      <c r="D15" s="19">
        <v>5</v>
      </c>
      <c r="E15" s="52"/>
      <c r="F15" s="52"/>
      <c r="G15" s="52"/>
      <c r="H15" s="52"/>
      <c r="I15" s="52" t="s">
        <v>113</v>
      </c>
      <c r="J15" s="52"/>
      <c r="K15" s="72">
        <f>BE60</f>
        <v>4</v>
      </c>
      <c r="L15" s="52"/>
      <c r="M15" s="52"/>
      <c r="N15" s="52"/>
      <c r="O15" s="52"/>
      <c r="P15" s="52"/>
      <c r="Q15" s="52"/>
      <c r="R15" s="52"/>
      <c r="S15" s="52"/>
      <c r="T15" s="52"/>
      <c r="U15" s="52"/>
      <c r="V15" s="52"/>
      <c r="W15" s="52"/>
      <c r="X15" s="52"/>
      <c r="Y15" s="52"/>
      <c r="Z15" s="1"/>
      <c r="AA15" s="1"/>
      <c r="AB15" s="1"/>
      <c r="AC15" s="1"/>
      <c r="AD15" s="1"/>
      <c r="AE15" s="1"/>
      <c r="AF15" s="1"/>
      <c r="AG15" s="1"/>
      <c r="AH15" s="1" t="s">
        <v>42</v>
      </c>
      <c r="AI15" s="1"/>
      <c r="AJ15" s="1"/>
      <c r="AK15" s="25">
        <v>5</v>
      </c>
      <c r="AL15" s="1"/>
      <c r="AM15" s="1"/>
      <c r="AN15" s="1"/>
      <c r="AO15" s="1"/>
      <c r="AP15" s="1"/>
      <c r="AQ15" s="1"/>
      <c r="AR15" s="1"/>
      <c r="AS15" s="1"/>
      <c r="AT15" s="1"/>
      <c r="AU15" s="1"/>
      <c r="AV15" s="1"/>
      <c r="AW15" s="1"/>
      <c r="AX15" s="1"/>
      <c r="AY15" s="1"/>
      <c r="AZ15" s="1"/>
      <c r="BA15" s="1"/>
      <c r="BB15" s="1"/>
      <c r="BC15" s="3" t="s">
        <v>11</v>
      </c>
      <c r="BD15" s="1"/>
      <c r="BE15" s="1" t="s">
        <v>12</v>
      </c>
      <c r="BF15" s="1" t="s">
        <v>13</v>
      </c>
      <c r="BG15" s="1"/>
      <c r="BH15" s="1"/>
      <c r="BI15" s="1"/>
      <c r="BJ15" s="1"/>
      <c r="BK15" s="1"/>
      <c r="BL15" s="1"/>
      <c r="BM15" s="1"/>
      <c r="BN15" s="1"/>
      <c r="BO15" s="87" t="s">
        <v>72</v>
      </c>
      <c r="BP15" s="1">
        <v>10</v>
      </c>
      <c r="BQ15" s="1"/>
      <c r="BR15" s="1"/>
      <c r="BS15" s="1"/>
      <c r="BT15" s="1"/>
      <c r="BU15" s="1"/>
      <c r="BV15" s="88"/>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row>
    <row r="16" spans="1:123" x14ac:dyDescent="0.45">
      <c r="A16" s="52" t="s">
        <v>41</v>
      </c>
      <c r="B16" s="52"/>
      <c r="C16" s="52"/>
      <c r="D16" s="19">
        <v>10</v>
      </c>
      <c r="E16" s="52"/>
      <c r="F16" s="52"/>
      <c r="G16" s="52"/>
      <c r="H16" s="52"/>
      <c r="I16" s="52" t="s">
        <v>114</v>
      </c>
      <c r="J16" s="52"/>
      <c r="K16" s="73">
        <f>BE36</f>
        <v>114</v>
      </c>
      <c r="L16" s="52"/>
      <c r="M16" s="52"/>
      <c r="N16" s="52"/>
      <c r="O16" s="52"/>
      <c r="P16" s="52"/>
      <c r="Q16" s="52"/>
      <c r="R16" s="52"/>
      <c r="S16" s="52"/>
      <c r="T16" s="52"/>
      <c r="U16" s="52"/>
      <c r="V16" s="52"/>
      <c r="W16" s="52"/>
      <c r="X16" s="52"/>
      <c r="Y16" s="52"/>
      <c r="Z16" s="1"/>
      <c r="AA16" s="1"/>
      <c r="AB16" s="1"/>
      <c r="AC16" s="1"/>
      <c r="AD16" s="1"/>
      <c r="AE16" s="1"/>
      <c r="AF16" s="1"/>
      <c r="AG16" s="1"/>
      <c r="AH16" s="1" t="s">
        <v>41</v>
      </c>
      <c r="AI16" s="1"/>
      <c r="AJ16" s="1"/>
      <c r="AK16" s="25">
        <v>10</v>
      </c>
      <c r="AL16" s="1"/>
      <c r="AM16" s="1"/>
      <c r="AN16" s="1"/>
      <c r="AO16" s="1"/>
      <c r="AP16" s="1"/>
      <c r="AQ16" s="1"/>
      <c r="AR16" s="1"/>
      <c r="AS16" s="1"/>
      <c r="AT16" s="1"/>
      <c r="AU16" s="1"/>
      <c r="AV16" s="1"/>
      <c r="AW16" s="1"/>
      <c r="AX16" s="1"/>
      <c r="AY16" s="1"/>
      <c r="AZ16" s="1"/>
      <c r="BA16" s="1"/>
      <c r="BB16" s="1"/>
      <c r="BC16" s="1"/>
      <c r="BD16" s="1" t="s">
        <v>43</v>
      </c>
      <c r="BE16" s="4">
        <f>(PMT(BP31,BP32,IF(D24="New Vehicle",BP29,BP30),IF(D24="New Vehicle",BP33,BP34)))*-1</f>
        <v>72906.967075202483</v>
      </c>
      <c r="BF16" s="4">
        <f>BE16/(D14*D15)</f>
        <v>291.62786830080995</v>
      </c>
      <c r="BG16" s="1"/>
      <c r="BH16" s="1"/>
      <c r="BI16" s="1"/>
      <c r="BJ16" s="1"/>
      <c r="BK16" s="4"/>
      <c r="BL16" s="4"/>
      <c r="BM16" s="1"/>
      <c r="BN16" s="1"/>
      <c r="BO16" s="87" t="s">
        <v>73</v>
      </c>
      <c r="BP16" s="1">
        <v>5</v>
      </c>
      <c r="BQ16" s="1"/>
      <c r="BR16" s="1"/>
      <c r="BS16" s="1"/>
      <c r="BT16" s="1"/>
      <c r="BU16" s="1"/>
      <c r="BV16" s="88"/>
      <c r="BW16" s="1"/>
      <c r="BX16" s="1"/>
      <c r="BY16" s="1"/>
      <c r="BZ16" s="1"/>
      <c r="CA16" s="1"/>
      <c r="CB16" s="1"/>
      <c r="CC16" s="1"/>
      <c r="CD16" s="1"/>
      <c r="CE16" s="1"/>
      <c r="CF16" s="1"/>
      <c r="CG16" s="1"/>
      <c r="CH16" s="3" t="s">
        <v>123</v>
      </c>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row>
    <row r="17" spans="1:123" x14ac:dyDescent="0.45">
      <c r="A17" s="52"/>
      <c r="B17" s="52"/>
      <c r="C17" s="52"/>
      <c r="D17" s="45"/>
      <c r="E17" s="52"/>
      <c r="F17" s="52"/>
      <c r="G17" s="52"/>
      <c r="H17" s="52"/>
      <c r="I17" s="52" t="s">
        <v>115</v>
      </c>
      <c r="J17" s="52"/>
      <c r="K17" s="73">
        <f>BD43*K15</f>
        <v>272.79999999999995</v>
      </c>
      <c r="L17" s="52"/>
      <c r="M17" s="52"/>
      <c r="N17" s="52"/>
      <c r="O17" s="52"/>
      <c r="P17" s="52"/>
      <c r="Q17" s="52"/>
      <c r="R17" s="52"/>
      <c r="S17" s="52"/>
      <c r="T17" s="52"/>
      <c r="U17" s="52"/>
      <c r="V17" s="52"/>
      <c r="W17" s="52"/>
      <c r="X17" s="52"/>
      <c r="Y17" s="52"/>
      <c r="Z17" s="1"/>
      <c r="AA17" s="1"/>
      <c r="AB17" s="1"/>
      <c r="AC17" s="1"/>
      <c r="AD17" s="1"/>
      <c r="AE17" s="1"/>
      <c r="AF17" s="1"/>
      <c r="AG17" s="1"/>
      <c r="AH17" s="1"/>
      <c r="AI17" s="1"/>
      <c r="AJ17" s="1"/>
      <c r="AK17" s="25"/>
      <c r="AL17" s="1"/>
      <c r="AM17" s="1"/>
      <c r="AN17" s="1"/>
      <c r="AO17" s="1"/>
      <c r="AP17" s="1"/>
      <c r="AQ17" s="1"/>
      <c r="AR17" s="1"/>
      <c r="AS17" s="1"/>
      <c r="AT17" s="1"/>
      <c r="AU17" s="1"/>
      <c r="AV17" s="1"/>
      <c r="AW17" s="1"/>
      <c r="AX17" s="1"/>
      <c r="AY17" s="1"/>
      <c r="AZ17" s="1"/>
      <c r="BA17" s="1"/>
      <c r="BB17" s="1"/>
      <c r="BC17" s="1"/>
      <c r="BD17" s="1" t="s">
        <v>4</v>
      </c>
      <c r="BE17" s="4">
        <f>D26</f>
        <v>13453.9</v>
      </c>
      <c r="BF17" s="4">
        <f>BE17/(D14*D15)</f>
        <v>53.815599999999996</v>
      </c>
      <c r="BG17" s="1"/>
      <c r="BH17" s="1"/>
      <c r="BI17" s="1"/>
      <c r="BJ17" s="1"/>
      <c r="BK17" s="4"/>
      <c r="BL17" s="4"/>
      <c r="BM17" s="1"/>
      <c r="BN17" s="1"/>
      <c r="BO17" s="87"/>
      <c r="BP17" s="1"/>
      <c r="BQ17" s="1"/>
      <c r="BR17" s="1"/>
      <c r="BS17" s="1"/>
      <c r="BT17" s="1"/>
      <c r="BU17" s="1"/>
      <c r="BV17" s="88"/>
      <c r="BW17" s="1"/>
      <c r="BX17" s="1"/>
      <c r="BY17" s="1"/>
      <c r="BZ17" s="1"/>
      <c r="CA17" s="1"/>
      <c r="CB17" s="1"/>
      <c r="CC17" s="1"/>
      <c r="CD17" s="1"/>
      <c r="CE17" s="1"/>
      <c r="CF17" s="1"/>
      <c r="CG17" s="1"/>
      <c r="CH17" s="1"/>
      <c r="CI17" s="1" t="s">
        <v>104</v>
      </c>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row>
    <row r="18" spans="1:123" x14ac:dyDescent="0.45">
      <c r="A18" s="52" t="s">
        <v>120</v>
      </c>
      <c r="B18" s="52"/>
      <c r="C18" s="52"/>
      <c r="D18" s="19">
        <v>28.5</v>
      </c>
      <c r="E18" s="52"/>
      <c r="F18" s="52"/>
      <c r="G18" s="52"/>
      <c r="H18" s="52"/>
      <c r="I18" s="52" t="s">
        <v>116</v>
      </c>
      <c r="J18" s="52"/>
      <c r="K18" s="73">
        <f>BE66</f>
        <v>10</v>
      </c>
      <c r="L18" s="52"/>
      <c r="M18" s="52"/>
      <c r="N18" s="52"/>
      <c r="O18" s="52"/>
      <c r="P18" s="52"/>
      <c r="Q18" s="52"/>
      <c r="R18" s="52"/>
      <c r="S18" s="52"/>
      <c r="T18" s="52"/>
      <c r="U18" s="52"/>
      <c r="V18" s="52"/>
      <c r="W18" s="52"/>
      <c r="X18" s="52"/>
      <c r="Y18" s="52"/>
      <c r="Z18" s="1"/>
      <c r="AA18" s="1"/>
      <c r="AB18" s="1"/>
      <c r="AC18" s="1"/>
      <c r="AD18" s="1"/>
      <c r="AE18" s="1"/>
      <c r="AF18" s="1"/>
      <c r="AG18" s="1"/>
      <c r="AH18" s="1" t="s">
        <v>120</v>
      </c>
      <c r="AI18" s="1"/>
      <c r="AJ18" s="1"/>
      <c r="AK18" s="25">
        <v>28.5</v>
      </c>
      <c r="AL18" s="1"/>
      <c r="AM18" s="1"/>
      <c r="AN18" s="1"/>
      <c r="AO18" s="1"/>
      <c r="AP18" s="1"/>
      <c r="AQ18" s="1"/>
      <c r="AR18" s="1"/>
      <c r="AS18" s="1"/>
      <c r="AT18" s="1"/>
      <c r="AU18" s="1"/>
      <c r="AV18" s="1"/>
      <c r="AW18" s="1"/>
      <c r="AX18" s="1"/>
      <c r="AY18" s="1"/>
      <c r="AZ18" s="1"/>
      <c r="BA18" s="1"/>
      <c r="BB18" s="1"/>
      <c r="BC18" s="1"/>
      <c r="BD18" s="1" t="s">
        <v>135</v>
      </c>
      <c r="BE18" s="4">
        <f>D27</f>
        <v>2598.27</v>
      </c>
      <c r="BF18" s="4">
        <f>BE18/(D14*D15)</f>
        <v>10.393079999999999</v>
      </c>
      <c r="BG18" s="1"/>
      <c r="BH18" s="1"/>
      <c r="BI18" s="1"/>
      <c r="BJ18" s="1"/>
      <c r="BK18" s="4"/>
      <c r="BL18" s="4"/>
      <c r="BM18" s="1"/>
      <c r="BN18" s="1"/>
      <c r="BO18" s="89" t="s">
        <v>5</v>
      </c>
      <c r="BP18" s="90" t="s">
        <v>102</v>
      </c>
      <c r="BQ18" s="1"/>
      <c r="BR18" s="3" t="s">
        <v>10</v>
      </c>
      <c r="BS18" s="90" t="s">
        <v>102</v>
      </c>
      <c r="BT18" s="1"/>
      <c r="BU18" s="3" t="s">
        <v>80</v>
      </c>
      <c r="BV18" s="98" t="s">
        <v>102</v>
      </c>
      <c r="BW18" s="1"/>
      <c r="BX18" s="3"/>
      <c r="BY18" s="3"/>
      <c r="BZ18" s="1"/>
      <c r="CA18" s="1"/>
      <c r="CB18" s="1"/>
      <c r="CC18" s="1"/>
      <c r="CD18" s="1"/>
      <c r="CE18" s="1"/>
      <c r="CF18" s="1"/>
      <c r="CG18" s="1"/>
      <c r="CH18" s="1" t="s">
        <v>105</v>
      </c>
      <c r="CI18" s="1" t="s">
        <v>106</v>
      </c>
      <c r="CJ18" s="1" t="s">
        <v>103</v>
      </c>
      <c r="CK18" s="1" t="s">
        <v>107</v>
      </c>
      <c r="CL18" s="1" t="s">
        <v>19</v>
      </c>
      <c r="CM18" s="1" t="s">
        <v>4</v>
      </c>
      <c r="CN18" s="1" t="s">
        <v>135</v>
      </c>
      <c r="CO18" s="1" t="s">
        <v>189</v>
      </c>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row>
    <row r="19" spans="1:123" x14ac:dyDescent="0.45">
      <c r="A19" s="52"/>
      <c r="B19" s="52"/>
      <c r="C19" s="52"/>
      <c r="D19" s="44"/>
      <c r="E19" s="52"/>
      <c r="F19" s="52"/>
      <c r="G19" s="52"/>
      <c r="H19" s="52"/>
      <c r="I19" s="52"/>
      <c r="J19" s="52"/>
      <c r="K19" s="52"/>
      <c r="L19" s="52"/>
      <c r="M19" s="52"/>
      <c r="N19" s="52"/>
      <c r="O19" s="52"/>
      <c r="P19" s="52"/>
      <c r="Q19" s="52"/>
      <c r="R19" s="52"/>
      <c r="S19" s="52"/>
      <c r="T19" s="52"/>
      <c r="U19" s="52"/>
      <c r="V19" s="52"/>
      <c r="W19" s="52"/>
      <c r="X19" s="52"/>
      <c r="Y19" s="52"/>
      <c r="Z19" s="1"/>
      <c r="AA19" s="1"/>
      <c r="AB19" s="1"/>
      <c r="AC19" s="1"/>
      <c r="AD19" s="1"/>
      <c r="AE19" s="1"/>
      <c r="AF19" s="1"/>
      <c r="AG19" s="1"/>
      <c r="AH19" s="1"/>
      <c r="AI19" s="1"/>
      <c r="AJ19" s="1"/>
      <c r="AK19" s="25"/>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87" t="s">
        <v>74</v>
      </c>
      <c r="BP19" s="1">
        <v>12637.64</v>
      </c>
      <c r="BQ19" s="1"/>
      <c r="BR19" s="1" t="s">
        <v>139</v>
      </c>
      <c r="BS19" s="1">
        <v>65112.34</v>
      </c>
      <c r="BT19" s="1"/>
      <c r="BU19" s="1" t="s">
        <v>81</v>
      </c>
      <c r="BV19" s="88">
        <v>28.5</v>
      </c>
      <c r="BW19" s="1"/>
      <c r="BX19" s="1"/>
      <c r="BY19" s="1"/>
      <c r="BZ19" s="6"/>
      <c r="CA19" s="1"/>
      <c r="CB19" s="1"/>
      <c r="CC19" s="1"/>
      <c r="CD19" s="1"/>
      <c r="CE19" s="1"/>
      <c r="CF19" s="1"/>
      <c r="CG19" s="1"/>
      <c r="CH19" s="1">
        <v>35</v>
      </c>
      <c r="CI19" s="1">
        <v>1</v>
      </c>
      <c r="CJ19" s="7">
        <v>1</v>
      </c>
      <c r="CK19" s="7">
        <v>20</v>
      </c>
      <c r="CL19" s="7">
        <v>3.5</v>
      </c>
      <c r="CM19" s="4">
        <v>1000</v>
      </c>
      <c r="CN19" s="18">
        <v>0</v>
      </c>
      <c r="CO19" s="23">
        <v>0.05</v>
      </c>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row>
    <row r="20" spans="1:123" x14ac:dyDescent="0.45">
      <c r="A20" s="52" t="s">
        <v>48</v>
      </c>
      <c r="B20" s="52"/>
      <c r="C20" s="52"/>
      <c r="D20" s="39">
        <v>3.63</v>
      </c>
      <c r="E20" s="52"/>
      <c r="F20" s="52"/>
      <c r="G20" s="52"/>
      <c r="H20" s="52"/>
      <c r="I20" s="74"/>
      <c r="J20" s="52"/>
      <c r="K20" s="52"/>
      <c r="L20" s="52"/>
      <c r="M20" s="52"/>
      <c r="N20" s="52"/>
      <c r="O20" s="52"/>
      <c r="P20" s="52"/>
      <c r="Q20" s="52"/>
      <c r="R20" s="52"/>
      <c r="S20" s="52"/>
      <c r="T20" s="52"/>
      <c r="U20" s="52"/>
      <c r="V20" s="52"/>
      <c r="W20" s="52"/>
      <c r="X20" s="52"/>
      <c r="Y20" s="52"/>
      <c r="Z20" s="1"/>
      <c r="AA20" s="1"/>
      <c r="AB20" s="1"/>
      <c r="AC20" s="1"/>
      <c r="AD20" s="1"/>
      <c r="AE20" s="1"/>
      <c r="AF20" s="1"/>
      <c r="AG20" s="1"/>
      <c r="AH20" s="1" t="s">
        <v>48</v>
      </c>
      <c r="AI20" s="1"/>
      <c r="AJ20" s="1"/>
      <c r="AK20" s="42">
        <v>3.63</v>
      </c>
      <c r="AL20" s="1"/>
      <c r="AM20" s="1"/>
      <c r="AN20" s="1"/>
      <c r="AO20" s="1"/>
      <c r="AP20" s="1"/>
      <c r="AQ20" s="1"/>
      <c r="AR20" s="1"/>
      <c r="AS20" s="1"/>
      <c r="AT20" s="1"/>
      <c r="AU20" s="1"/>
      <c r="AV20" s="1"/>
      <c r="AW20" s="1"/>
      <c r="AX20" s="1"/>
      <c r="AY20" s="1"/>
      <c r="AZ20" s="1"/>
      <c r="BA20" s="1"/>
      <c r="BB20" s="1"/>
      <c r="BC20" s="1" t="s">
        <v>9</v>
      </c>
      <c r="BD20" s="1"/>
      <c r="BE20" s="8">
        <f>SUM(BE16:BE18)</f>
        <v>88959.137075202481</v>
      </c>
      <c r="BF20" s="8">
        <f>SUM(BF16:BF18)</f>
        <v>355.83654830080997</v>
      </c>
      <c r="BG20" s="1"/>
      <c r="BH20" s="1"/>
      <c r="BI20" s="1"/>
      <c r="BJ20" s="1"/>
      <c r="BK20" s="4"/>
      <c r="BL20" s="4"/>
      <c r="BM20" s="1"/>
      <c r="BN20" s="1"/>
      <c r="BO20" s="87" t="s">
        <v>75</v>
      </c>
      <c r="BP20" s="1">
        <v>4837.8</v>
      </c>
      <c r="BQ20" s="1"/>
      <c r="BR20" s="1" t="s">
        <v>140</v>
      </c>
      <c r="BS20" s="11">
        <f>BS19/BP14</f>
        <v>1302.2467999999999</v>
      </c>
      <c r="BT20" s="1"/>
      <c r="BU20" s="1" t="s">
        <v>83</v>
      </c>
      <c r="BV20" s="88">
        <v>5.41</v>
      </c>
      <c r="BW20" s="1"/>
      <c r="BX20" s="1"/>
      <c r="BY20" s="1"/>
      <c r="BZ20" s="6"/>
      <c r="CA20" s="1"/>
      <c r="CB20" s="1"/>
      <c r="CC20" s="1"/>
      <c r="CD20" s="1"/>
      <c r="CE20" s="1"/>
      <c r="CF20" s="1"/>
      <c r="CG20" s="1"/>
      <c r="CH20" s="1">
        <v>36</v>
      </c>
      <c r="CI20" s="1">
        <v>2</v>
      </c>
      <c r="CJ20" s="7">
        <v>1.5</v>
      </c>
      <c r="CK20" s="7">
        <v>20.5</v>
      </c>
      <c r="CL20" s="7">
        <v>4</v>
      </c>
      <c r="CM20" s="4">
        <v>1500</v>
      </c>
      <c r="CN20" s="4">
        <v>500</v>
      </c>
      <c r="CO20" s="23">
        <v>0.1</v>
      </c>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row>
    <row r="21" spans="1:123" x14ac:dyDescent="0.45">
      <c r="A21" s="52" t="s">
        <v>49</v>
      </c>
      <c r="B21" s="52"/>
      <c r="C21" s="52"/>
      <c r="D21" s="19">
        <v>5.4</v>
      </c>
      <c r="E21" s="52"/>
      <c r="F21" s="52"/>
      <c r="G21" s="52"/>
      <c r="H21" s="52"/>
      <c r="I21" s="74" t="s">
        <v>132</v>
      </c>
      <c r="J21" s="52"/>
      <c r="K21" s="52"/>
      <c r="L21" s="52"/>
      <c r="M21" s="52"/>
      <c r="N21" s="52"/>
      <c r="O21" s="52"/>
      <c r="P21" s="52"/>
      <c r="Q21" s="52"/>
      <c r="R21" s="52"/>
      <c r="S21" s="52"/>
      <c r="T21" s="52"/>
      <c r="U21" s="52"/>
      <c r="V21" s="52"/>
      <c r="W21" s="52"/>
      <c r="X21" s="52"/>
      <c r="Y21" s="52"/>
      <c r="Z21" s="1"/>
      <c r="AA21" s="1"/>
      <c r="AB21" s="1"/>
      <c r="AC21" s="1"/>
      <c r="AD21" s="1"/>
      <c r="AE21" s="1"/>
      <c r="AF21" s="1"/>
      <c r="AG21" s="1"/>
      <c r="AH21" s="1" t="s">
        <v>49</v>
      </c>
      <c r="AI21" s="1"/>
      <c r="AJ21" s="1"/>
      <c r="AK21" s="25">
        <v>5.4</v>
      </c>
      <c r="AL21" s="1"/>
      <c r="AM21" s="1"/>
      <c r="AN21" s="1"/>
      <c r="AO21" s="1"/>
      <c r="AP21" s="1"/>
      <c r="AQ21" s="1"/>
      <c r="AR21" s="1"/>
      <c r="AS21" s="1"/>
      <c r="AT21" s="1"/>
      <c r="AU21" s="1"/>
      <c r="AV21" s="1"/>
      <c r="AW21" s="1"/>
      <c r="AX21" s="1"/>
      <c r="AY21" s="1"/>
      <c r="AZ21" s="1"/>
      <c r="BA21" s="1"/>
      <c r="BB21" s="1"/>
      <c r="BC21" s="1"/>
      <c r="BD21" s="1"/>
      <c r="BE21" s="1"/>
      <c r="BF21" s="1"/>
      <c r="BG21" s="1"/>
      <c r="BH21" s="1"/>
      <c r="BJ21" s="1"/>
      <c r="BK21" s="1"/>
      <c r="BL21" s="1"/>
      <c r="BM21" s="1"/>
      <c r="BN21" s="1"/>
      <c r="BO21" s="87" t="s">
        <v>2</v>
      </c>
      <c r="BP21" s="1">
        <v>54051.07</v>
      </c>
      <c r="BQ21" s="1"/>
      <c r="BR21" s="1" t="s">
        <v>141</v>
      </c>
      <c r="BS21" s="11">
        <f>BS20/BP16</f>
        <v>260.44935999999996</v>
      </c>
      <c r="BT21" s="1"/>
      <c r="BU21" s="1" t="s">
        <v>91</v>
      </c>
      <c r="BV21" s="88">
        <v>3.85</v>
      </c>
      <c r="BW21" s="1"/>
      <c r="BX21" s="1"/>
      <c r="BY21" s="1"/>
      <c r="BZ21" s="1"/>
      <c r="CA21" s="1"/>
      <c r="CB21" s="1"/>
      <c r="CC21" s="1"/>
      <c r="CD21" s="1"/>
      <c r="CE21" s="1"/>
      <c r="CF21" s="1"/>
      <c r="CG21" s="1"/>
      <c r="CH21" s="1">
        <v>37</v>
      </c>
      <c r="CI21" s="1">
        <v>3</v>
      </c>
      <c r="CJ21" s="7">
        <v>2</v>
      </c>
      <c r="CK21" s="7">
        <v>21</v>
      </c>
      <c r="CL21" s="7">
        <v>4.5</v>
      </c>
      <c r="CM21" s="4">
        <v>2000</v>
      </c>
      <c r="CN21" s="4">
        <v>1000</v>
      </c>
      <c r="CO21" s="23">
        <v>0.15</v>
      </c>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row>
    <row r="22" spans="1:123" x14ac:dyDescent="0.45">
      <c r="A22" s="52"/>
      <c r="B22" s="52"/>
      <c r="C22" s="52"/>
      <c r="D22" s="25"/>
      <c r="E22" s="52"/>
      <c r="F22" s="52"/>
      <c r="G22" s="52"/>
      <c r="H22" s="52"/>
      <c r="I22" s="52"/>
      <c r="J22" s="52"/>
      <c r="K22" s="52" t="s">
        <v>12</v>
      </c>
      <c r="L22" s="52" t="s">
        <v>6</v>
      </c>
      <c r="M22" s="52" t="s">
        <v>40</v>
      </c>
      <c r="N22" t="s">
        <v>179</v>
      </c>
      <c r="O22" s="52" t="s">
        <v>7</v>
      </c>
      <c r="P22" s="52" t="s">
        <v>8</v>
      </c>
      <c r="Q22" s="75" t="str">
        <f t="shared" ref="Q22" si="0">BJ23</f>
        <v>% of Cost</v>
      </c>
      <c r="R22" s="52"/>
      <c r="S22" s="52"/>
      <c r="T22" s="52"/>
      <c r="U22" s="52"/>
      <c r="V22" s="52"/>
      <c r="W22" s="52"/>
      <c r="X22" s="52"/>
      <c r="Y22" s="52"/>
      <c r="Z22" s="1"/>
      <c r="AA22" s="1"/>
      <c r="AB22" s="1"/>
      <c r="AC22" s="1"/>
      <c r="AD22" s="1"/>
      <c r="AE22" s="1"/>
      <c r="AF22" s="1"/>
      <c r="AG22" s="1"/>
      <c r="AH22" s="1"/>
      <c r="AI22" s="1"/>
      <c r="AJ22" s="1"/>
      <c r="AK22" s="25"/>
      <c r="AL22" s="1"/>
      <c r="AM22" s="1"/>
      <c r="AN22" s="1"/>
      <c r="AO22" s="1"/>
      <c r="AP22" s="1"/>
      <c r="AQ22" s="1"/>
      <c r="AR22" s="1"/>
      <c r="AS22" s="1"/>
      <c r="AT22" s="1"/>
      <c r="AU22" s="1"/>
      <c r="AV22" s="1"/>
      <c r="AW22" s="1"/>
      <c r="AX22" s="1"/>
      <c r="AY22" s="1"/>
      <c r="AZ22" s="1"/>
      <c r="BA22" s="1"/>
      <c r="BB22" s="1"/>
      <c r="BC22" s="9" t="s">
        <v>101</v>
      </c>
      <c r="BD22" s="1"/>
      <c r="BE22" s="1"/>
      <c r="BF22" s="1"/>
      <c r="BG22" s="1"/>
      <c r="BH22" s="1"/>
      <c r="BI22" s="4"/>
      <c r="BJ22" s="1"/>
      <c r="BK22" s="1"/>
      <c r="BL22" s="1"/>
      <c r="BM22" s="1"/>
      <c r="BN22" s="1"/>
      <c r="BO22" s="87" t="s">
        <v>76</v>
      </c>
      <c r="BP22" s="1">
        <v>13453.9</v>
      </c>
      <c r="BQ22" s="1"/>
      <c r="BR22" s="1" t="s">
        <v>142</v>
      </c>
      <c r="BS22" s="11">
        <f>BS21/BP15</f>
        <v>26.044935999999996</v>
      </c>
      <c r="BT22" s="1"/>
      <c r="BU22" s="1"/>
      <c r="BV22" s="88"/>
      <c r="BW22" s="1"/>
      <c r="BX22" s="1"/>
      <c r="BY22" s="1"/>
      <c r="BZ22" s="1"/>
      <c r="CA22" s="1"/>
      <c r="CB22" s="1"/>
      <c r="CC22" s="1"/>
      <c r="CD22" s="1"/>
      <c r="CE22" s="1"/>
      <c r="CF22" s="1"/>
      <c r="CG22" s="1"/>
      <c r="CH22" s="1">
        <v>38</v>
      </c>
      <c r="CI22" s="1">
        <v>4</v>
      </c>
      <c r="CJ22" s="7">
        <v>2.5</v>
      </c>
      <c r="CK22" s="7">
        <v>21.5</v>
      </c>
      <c r="CL22" s="7">
        <v>5</v>
      </c>
      <c r="CM22" s="4">
        <v>2500</v>
      </c>
      <c r="CN22" s="4">
        <v>1500</v>
      </c>
      <c r="CO22" s="23">
        <v>0.2</v>
      </c>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row>
    <row r="23" spans="1:123" x14ac:dyDescent="0.45">
      <c r="A23" s="57" t="s">
        <v>3</v>
      </c>
      <c r="B23" s="52"/>
      <c r="C23" s="52"/>
      <c r="D23" s="46"/>
      <c r="E23" s="52"/>
      <c r="F23" s="52"/>
      <c r="G23" s="52"/>
      <c r="H23" s="52"/>
      <c r="I23" s="52"/>
      <c r="J23" s="76" t="s">
        <v>43</v>
      </c>
      <c r="K23" s="77">
        <f t="shared" ref="K23:K28" si="1">BD24</f>
        <v>72906.967075202483</v>
      </c>
      <c r="L23" s="77">
        <f t="shared" ref="L23:L28" si="2">BE24</f>
        <v>291.62786830080995</v>
      </c>
      <c r="M23" s="77">
        <f t="shared" ref="M23:M28" si="3">BF24</f>
        <v>1.0690171125396262</v>
      </c>
      <c r="N23" s="77">
        <f t="shared" ref="N23:N28" si="4">BG24</f>
        <v>0.4184808170670149</v>
      </c>
      <c r="O23" s="77">
        <f t="shared" ref="O23:O28" si="5">BH24</f>
        <v>2.5581391956211399</v>
      </c>
      <c r="P23" s="77">
        <f t="shared" ref="P23:P28" si="6">BI24</f>
        <v>6.3953479890528492E-2</v>
      </c>
      <c r="Q23" s="26">
        <f t="shared" ref="Q23:Q28" si="7">BJ24</f>
        <v>0.33254629615686809</v>
      </c>
      <c r="R23" s="52"/>
      <c r="S23" s="52"/>
      <c r="T23" s="52"/>
      <c r="U23" s="52"/>
      <c r="V23" s="52"/>
      <c r="W23" s="52"/>
      <c r="X23" s="52"/>
      <c r="Y23" s="52"/>
      <c r="Z23" s="1"/>
      <c r="AA23" s="1"/>
      <c r="AB23" s="1"/>
      <c r="AC23" s="1"/>
      <c r="AD23" s="1"/>
      <c r="AE23" s="1"/>
      <c r="AF23" s="1"/>
      <c r="AG23" s="1"/>
      <c r="AH23" s="1" t="s">
        <v>3</v>
      </c>
      <c r="AI23" s="1"/>
      <c r="AJ23" s="1"/>
      <c r="AK23" s="25"/>
      <c r="AL23" s="1"/>
      <c r="AM23" s="1"/>
      <c r="AN23" s="1"/>
      <c r="AO23" s="1"/>
      <c r="AP23" s="1"/>
      <c r="AQ23" s="1"/>
      <c r="AR23" s="1"/>
      <c r="AS23" s="1"/>
      <c r="AT23" s="1"/>
      <c r="AU23" s="1"/>
      <c r="AV23" s="1"/>
      <c r="AW23" s="1"/>
      <c r="AX23" s="1"/>
      <c r="AY23" s="1"/>
      <c r="AZ23" s="1"/>
      <c r="BA23" s="1"/>
      <c r="BB23" s="1"/>
      <c r="BC23" s="1"/>
      <c r="BD23" s="1" t="s">
        <v>12</v>
      </c>
      <c r="BE23" s="1" t="s">
        <v>6</v>
      </c>
      <c r="BF23" s="1" t="s">
        <v>40</v>
      </c>
      <c r="BG23" s="1" t="s">
        <v>179</v>
      </c>
      <c r="BH23" s="1" t="s">
        <v>7</v>
      </c>
      <c r="BI23" s="1" t="s">
        <v>8</v>
      </c>
      <c r="BJ23" s="1" t="s">
        <v>149</v>
      </c>
      <c r="BK23" s="1"/>
      <c r="BL23" s="1"/>
      <c r="BM23" s="1"/>
      <c r="BN23" s="1"/>
      <c r="BO23" s="87" t="s">
        <v>77</v>
      </c>
      <c r="BP23" s="1">
        <v>21723.52</v>
      </c>
      <c r="BQ23" s="1"/>
      <c r="BR23" s="1" t="s">
        <v>96</v>
      </c>
      <c r="BS23" s="11">
        <f>4563.31/D15/D16</f>
        <v>91.266199999999998</v>
      </c>
      <c r="BU23" s="1" t="s">
        <v>194</v>
      </c>
      <c r="BV23" s="88"/>
      <c r="BW23" s="1"/>
      <c r="BX23" s="1"/>
      <c r="BY23" s="1"/>
      <c r="BZ23" s="1"/>
      <c r="CA23" s="1"/>
      <c r="CB23" s="1"/>
      <c r="CC23" s="1"/>
      <c r="CD23" s="1"/>
      <c r="CE23" s="1"/>
      <c r="CF23" s="1"/>
      <c r="CG23" s="1"/>
      <c r="CH23" s="1">
        <v>39</v>
      </c>
      <c r="CI23" s="1">
        <v>5</v>
      </c>
      <c r="CJ23" s="7">
        <v>3</v>
      </c>
      <c r="CK23" s="7">
        <v>22</v>
      </c>
      <c r="CL23" s="7">
        <v>5.5</v>
      </c>
      <c r="CM23" s="4">
        <v>3000</v>
      </c>
      <c r="CN23" s="4">
        <v>2000</v>
      </c>
      <c r="CO23" s="23">
        <v>0.25</v>
      </c>
      <c r="CP23" s="1"/>
      <c r="CQ23" s="1"/>
      <c r="CR23" s="1"/>
      <c r="CS23" s="1"/>
      <c r="CT23" s="1"/>
      <c r="CU23" s="1"/>
      <c r="CV23" s="1"/>
      <c r="CW23" s="1"/>
      <c r="CX23" s="1"/>
      <c r="CY23" s="1"/>
      <c r="CZ23" s="1"/>
      <c r="DA23" s="1"/>
      <c r="DB23" s="1"/>
      <c r="DC23" s="1"/>
      <c r="DD23" s="1"/>
      <c r="DE23" s="1"/>
      <c r="DF23" s="1"/>
      <c r="DG23" s="10"/>
      <c r="DH23" s="1"/>
      <c r="DI23" s="10"/>
      <c r="DJ23" s="1"/>
      <c r="DK23" s="10"/>
      <c r="DL23" s="1"/>
      <c r="DM23" s="1"/>
      <c r="DN23" s="1"/>
      <c r="DO23" s="1"/>
      <c r="DP23" s="1"/>
      <c r="DQ23" s="1"/>
      <c r="DR23" s="1"/>
      <c r="DS23" s="1"/>
    </row>
    <row r="24" spans="1:123" x14ac:dyDescent="0.45">
      <c r="A24" s="52" t="s">
        <v>63</v>
      </c>
      <c r="B24" s="52"/>
      <c r="C24" s="52"/>
      <c r="D24" s="19" t="s">
        <v>84</v>
      </c>
      <c r="E24" s="52"/>
      <c r="F24" s="52"/>
      <c r="G24" s="52"/>
      <c r="H24" s="52"/>
      <c r="I24" s="52"/>
      <c r="J24" s="76" t="s">
        <v>44</v>
      </c>
      <c r="K24" s="77">
        <f t="shared" si="1"/>
        <v>1144.8888888888891</v>
      </c>
      <c r="L24" s="77">
        <f t="shared" si="2"/>
        <v>4.5795555555555563</v>
      </c>
      <c r="M24" s="77">
        <f t="shared" si="3"/>
        <v>1.6787227109807762E-2</v>
      </c>
      <c r="N24" s="77">
        <f t="shared" si="4"/>
        <v>6.5715809735847315E-3</v>
      </c>
      <c r="O24" s="77">
        <f t="shared" si="5"/>
        <v>4.017153996101365E-2</v>
      </c>
      <c r="P24" s="77">
        <f t="shared" si="6"/>
        <v>1.0042884990253413E-3</v>
      </c>
      <c r="Q24" s="26">
        <f t="shared" si="7"/>
        <v>5.2221149059518013E-3</v>
      </c>
      <c r="R24" s="82"/>
      <c r="S24" s="82"/>
      <c r="T24" s="82"/>
      <c r="U24" s="82"/>
      <c r="V24" s="52"/>
      <c r="W24" s="52"/>
      <c r="X24" s="52"/>
      <c r="Y24" s="52"/>
      <c r="Z24" s="1"/>
      <c r="AA24" s="1"/>
      <c r="AB24" s="1"/>
      <c r="AC24" s="1"/>
      <c r="AD24" s="1"/>
      <c r="AE24" s="1"/>
      <c r="AF24" s="1"/>
      <c r="AG24" s="1"/>
      <c r="AH24" s="1" t="s">
        <v>63</v>
      </c>
      <c r="AI24" s="1"/>
      <c r="AJ24" s="1"/>
      <c r="AK24" s="25" t="s">
        <v>84</v>
      </c>
      <c r="AL24" s="1"/>
      <c r="AM24" s="1"/>
      <c r="AN24" s="1"/>
      <c r="AO24" s="1"/>
      <c r="AP24" s="1"/>
      <c r="AQ24" s="1"/>
      <c r="AR24" s="1"/>
      <c r="AS24" s="1"/>
      <c r="AT24" s="1"/>
      <c r="AU24" s="1"/>
      <c r="AV24" s="1"/>
      <c r="AW24" s="1"/>
      <c r="AX24" s="1"/>
      <c r="AY24" s="1"/>
      <c r="AZ24" s="1"/>
      <c r="BA24" s="1"/>
      <c r="BB24" s="1"/>
      <c r="BC24" s="1" t="s">
        <v>43</v>
      </c>
      <c r="BD24" s="4">
        <f>BE24*$D$15*$D$14</f>
        <v>72906.967075202483</v>
      </c>
      <c r="BE24" s="4">
        <f>BF16</f>
        <v>291.62786830080995</v>
      </c>
      <c r="BF24" s="4">
        <f t="shared" ref="BF24:BF32" si="8">BE24/($BD$43*$BE$60)</f>
        <v>1.0690171125396262</v>
      </c>
      <c r="BG24" s="4">
        <f t="shared" ref="BG24:BG32" si="9">BE24/(($BF$53*$K$15))</f>
        <v>0.4184808170670149</v>
      </c>
      <c r="BH24" s="4">
        <f t="shared" ref="BH24:BH32" si="10">BE24/$BE$36</f>
        <v>2.5581391956211399</v>
      </c>
      <c r="BI24" s="12">
        <f>BH24/MAX($D$39,SUM($BD$39:$BD$40))</f>
        <v>6.3953479890528492E-2</v>
      </c>
      <c r="BJ24" s="22">
        <f t="shared" ref="BJ24:BJ32" si="11">BE24/$BE$34</f>
        <v>0.33254629615686809</v>
      </c>
      <c r="BK24" s="1"/>
      <c r="BL24" s="1"/>
      <c r="BM24" s="1"/>
      <c r="BN24" s="1"/>
      <c r="BO24" s="87" t="s">
        <v>78</v>
      </c>
      <c r="BP24" s="1">
        <v>522.73</v>
      </c>
      <c r="BQ24" s="1"/>
      <c r="BR24" s="1" t="s">
        <v>143</v>
      </c>
      <c r="BS24" s="1">
        <f>AVERAGE(1.15,3.75)</f>
        <v>2.4500000000000002</v>
      </c>
      <c r="BT24" s="1"/>
      <c r="BU24" s="1"/>
      <c r="BV24" s="88">
        <v>0.15</v>
      </c>
      <c r="BW24" s="1"/>
      <c r="BX24" s="5"/>
      <c r="BY24" s="1"/>
      <c r="BZ24" s="1"/>
      <c r="CA24" s="1"/>
      <c r="CB24" s="1"/>
      <c r="CC24" s="1"/>
      <c r="CD24" s="1"/>
      <c r="CE24" s="1"/>
      <c r="CF24" s="1"/>
      <c r="CG24" s="1"/>
      <c r="CH24" s="1">
        <v>40</v>
      </c>
      <c r="CI24" s="1">
        <v>6</v>
      </c>
      <c r="CJ24" s="7">
        <v>3.5</v>
      </c>
      <c r="CK24" s="7">
        <v>22.5</v>
      </c>
      <c r="CL24" s="7">
        <v>6</v>
      </c>
      <c r="CM24" s="4">
        <v>3500</v>
      </c>
      <c r="CN24" s="4">
        <v>2500</v>
      </c>
      <c r="CO24" s="23">
        <v>0.3</v>
      </c>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row>
    <row r="25" spans="1:123" x14ac:dyDescent="0.45">
      <c r="A25" s="52" t="s">
        <v>67</v>
      </c>
      <c r="B25" s="52"/>
      <c r="C25" s="52"/>
      <c r="D25" s="19" t="s">
        <v>88</v>
      </c>
      <c r="E25" s="52"/>
      <c r="F25" s="52"/>
      <c r="G25" s="52"/>
      <c r="H25" s="52"/>
      <c r="I25" s="52"/>
      <c r="J25" s="76" t="str">
        <f>BC26</f>
        <v>Permits/Taxes</v>
      </c>
      <c r="K25" s="77">
        <f t="shared" si="1"/>
        <v>2598.27</v>
      </c>
      <c r="L25" s="77">
        <f t="shared" si="2"/>
        <v>10.393079999999999</v>
      </c>
      <c r="M25" s="77">
        <f t="shared" si="3"/>
        <v>3.8097800586510265E-2</v>
      </c>
      <c r="N25" s="77">
        <f t="shared" si="4"/>
        <v>1.4913885410144019E-2</v>
      </c>
      <c r="O25" s="77">
        <f t="shared" si="5"/>
        <v>9.1167368421052622E-2</v>
      </c>
      <c r="P25" s="77">
        <f t="shared" si="6"/>
        <v>2.2791842105263156E-3</v>
      </c>
      <c r="Q25" s="26">
        <f t="shared" si="7"/>
        <v>1.1851337390351947E-2</v>
      </c>
      <c r="R25" s="82"/>
      <c r="S25" s="82"/>
      <c r="T25" s="82"/>
      <c r="U25" s="82"/>
      <c r="V25" s="52"/>
      <c r="W25" s="52"/>
      <c r="X25" s="52"/>
      <c r="Y25" s="52"/>
      <c r="Z25" s="1"/>
      <c r="AA25" s="1"/>
      <c r="AB25" s="1"/>
      <c r="AC25" s="1"/>
      <c r="AD25" s="1"/>
      <c r="AE25" s="1"/>
      <c r="AF25" s="1"/>
      <c r="AG25" s="1"/>
      <c r="AH25" s="1" t="s">
        <v>67</v>
      </c>
      <c r="AI25" s="1"/>
      <c r="AJ25" s="1"/>
      <c r="AK25" s="25" t="s">
        <v>88</v>
      </c>
      <c r="AL25" s="1"/>
      <c r="AM25" s="1"/>
      <c r="AN25" s="1"/>
      <c r="AO25" s="1"/>
      <c r="AP25" s="1"/>
      <c r="AQ25" s="1"/>
      <c r="AR25" s="1"/>
      <c r="AS25" s="1"/>
      <c r="AT25" s="1"/>
      <c r="AU25" s="1"/>
      <c r="AV25" s="1"/>
      <c r="AW25" s="1"/>
      <c r="AX25" s="1"/>
      <c r="AY25" s="1"/>
      <c r="AZ25" s="1"/>
      <c r="BA25" s="1"/>
      <c r="BB25" s="1"/>
      <c r="BC25" s="1" t="s">
        <v>44</v>
      </c>
      <c r="BD25" s="4">
        <f>BE25*$D$15*$D$14</f>
        <v>1144.8888888888891</v>
      </c>
      <c r="BE25" s="4">
        <f>(IF(D25="Plantation", BP37, IF(D25="4-Bolster", BP38, IF(D25="Pole", BP39, IF(D25="Chip Van", BP40, IF(D25="Other/Combination", BP41, 0))))))/BP42/D14/D15</f>
        <v>4.5795555555555563</v>
      </c>
      <c r="BF25" s="4">
        <f t="shared" si="8"/>
        <v>1.6787227109807762E-2</v>
      </c>
      <c r="BG25" s="4">
        <f t="shared" si="9"/>
        <v>6.5715809735847315E-3</v>
      </c>
      <c r="BH25" s="4">
        <f t="shared" si="10"/>
        <v>4.017153996101365E-2</v>
      </c>
      <c r="BI25" s="12">
        <f t="shared" ref="BI25:BI32" si="12">BH25/MAX($D$39,SUM($BD$39:$BD$40))</f>
        <v>1.0042884990253413E-3</v>
      </c>
      <c r="BJ25" s="22">
        <f t="shared" si="11"/>
        <v>5.2221149059518013E-3</v>
      </c>
      <c r="BK25" s="1"/>
      <c r="BL25" s="1"/>
      <c r="BM25" s="1"/>
      <c r="BN25" s="1"/>
      <c r="BO25" s="87" t="s">
        <v>79</v>
      </c>
      <c r="BP25" s="1">
        <v>2598.27</v>
      </c>
      <c r="BQ25" s="1"/>
      <c r="BR25" s="1" t="s">
        <v>144</v>
      </c>
      <c r="BS25" s="1">
        <f>AVERAGE(70,60,60,66,90)</f>
        <v>69.2</v>
      </c>
      <c r="BT25" s="1"/>
      <c r="BU25" s="1" t="s">
        <v>208</v>
      </c>
      <c r="BV25" s="88"/>
      <c r="BW25" s="1"/>
      <c r="BX25" s="1"/>
      <c r="BY25" s="1"/>
      <c r="BZ25" s="6"/>
      <c r="CA25" s="1"/>
      <c r="CB25" s="1"/>
      <c r="CC25" s="1"/>
      <c r="CD25" s="1"/>
      <c r="CE25" s="1"/>
      <c r="CF25" s="1"/>
      <c r="CG25" s="1"/>
      <c r="CH25" s="1">
        <v>41</v>
      </c>
      <c r="CI25" s="1">
        <v>7</v>
      </c>
      <c r="CJ25" s="7">
        <v>4</v>
      </c>
      <c r="CK25" s="7">
        <v>23</v>
      </c>
      <c r="CL25" s="7">
        <v>6.5</v>
      </c>
      <c r="CM25" s="4">
        <v>4000</v>
      </c>
      <c r="CN25" s="4">
        <v>3000</v>
      </c>
      <c r="CO25" s="23">
        <v>0.35</v>
      </c>
      <c r="CP25" s="1"/>
      <c r="CQ25" s="1"/>
      <c r="CR25" s="1"/>
      <c r="CS25" s="1"/>
      <c r="CT25" s="1"/>
      <c r="CU25" s="1"/>
      <c r="CV25" s="1"/>
      <c r="CW25" s="1"/>
      <c r="CX25" s="1"/>
      <c r="CY25" s="1"/>
      <c r="CZ25" s="1"/>
      <c r="DA25" s="1"/>
      <c r="DB25" s="1"/>
      <c r="DC25" s="1"/>
      <c r="DD25" s="1"/>
      <c r="DE25" s="1"/>
      <c r="DF25" s="1"/>
      <c r="DG25" s="105"/>
      <c r="DH25" s="1"/>
      <c r="DI25" s="1"/>
      <c r="DJ25" s="25"/>
      <c r="DK25" s="1"/>
      <c r="DL25" s="1"/>
      <c r="DM25" s="1"/>
      <c r="DN25" s="1"/>
      <c r="DO25" s="1"/>
      <c r="DP25" s="1"/>
      <c r="DQ25" s="1"/>
      <c r="DR25" s="1"/>
      <c r="DS25" s="1"/>
    </row>
    <row r="26" spans="1:123" x14ac:dyDescent="0.45">
      <c r="A26" s="52" t="s">
        <v>94</v>
      </c>
      <c r="B26" s="52"/>
      <c r="C26" s="52"/>
      <c r="D26" s="40">
        <v>13453.9</v>
      </c>
      <c r="E26" s="52"/>
      <c r="F26" s="52"/>
      <c r="G26" s="52"/>
      <c r="H26" s="52"/>
      <c r="I26" s="52"/>
      <c r="J26" s="76" t="s">
        <v>4</v>
      </c>
      <c r="K26" s="77">
        <f t="shared" si="1"/>
        <v>13453.899999999998</v>
      </c>
      <c r="L26" s="77">
        <f t="shared" si="2"/>
        <v>53.815599999999996</v>
      </c>
      <c r="M26" s="77">
        <f t="shared" si="3"/>
        <v>0.19727126099706746</v>
      </c>
      <c r="N26" s="77">
        <f t="shared" si="4"/>
        <v>7.7224431225213941E-2</v>
      </c>
      <c r="O26" s="77">
        <f t="shared" si="5"/>
        <v>0.47206666666666663</v>
      </c>
      <c r="P26" s="77">
        <f t="shared" si="6"/>
        <v>1.1801666666666665E-2</v>
      </c>
      <c r="Q26" s="26">
        <f t="shared" si="7"/>
        <v>6.1366489285584663E-2</v>
      </c>
      <c r="R26" s="82"/>
      <c r="S26" s="82"/>
      <c r="T26" s="82"/>
      <c r="U26" s="82"/>
      <c r="V26" s="52"/>
      <c r="W26" s="52"/>
      <c r="X26" s="52"/>
      <c r="Y26" s="52"/>
      <c r="Z26" s="1"/>
      <c r="AA26" s="1"/>
      <c r="AB26" s="1"/>
      <c r="AC26" s="1"/>
      <c r="AD26" s="1"/>
      <c r="AE26" s="1"/>
      <c r="AF26" s="1"/>
      <c r="AG26" s="1"/>
      <c r="AH26" s="1" t="s">
        <v>94</v>
      </c>
      <c r="AI26" s="1"/>
      <c r="AJ26" s="1"/>
      <c r="AK26" s="43">
        <v>13453.9</v>
      </c>
      <c r="AL26" s="1"/>
      <c r="AM26" s="1"/>
      <c r="AN26" s="1"/>
      <c r="AO26" s="1"/>
      <c r="AP26" s="1"/>
      <c r="AQ26" s="1"/>
      <c r="AR26" s="1"/>
      <c r="AS26" s="1"/>
      <c r="AT26" s="1"/>
      <c r="AU26" s="1"/>
      <c r="AV26" s="1"/>
      <c r="AW26" s="1"/>
      <c r="AX26" s="1"/>
      <c r="AY26" s="1"/>
      <c r="AZ26" s="1"/>
      <c r="BA26" s="1"/>
      <c r="BB26" s="1"/>
      <c r="BC26" s="1" t="s">
        <v>135</v>
      </c>
      <c r="BD26" s="4">
        <f>BE18</f>
        <v>2598.27</v>
      </c>
      <c r="BE26" s="4">
        <f>BF18</f>
        <v>10.393079999999999</v>
      </c>
      <c r="BF26" s="4">
        <f t="shared" si="8"/>
        <v>3.8097800586510265E-2</v>
      </c>
      <c r="BG26" s="4">
        <f t="shared" si="9"/>
        <v>1.4913885410144019E-2</v>
      </c>
      <c r="BH26" s="4">
        <f t="shared" si="10"/>
        <v>9.1167368421052622E-2</v>
      </c>
      <c r="BI26" s="12">
        <f t="shared" si="12"/>
        <v>2.2791842105263156E-3</v>
      </c>
      <c r="BJ26" s="22">
        <f t="shared" si="11"/>
        <v>1.1851337390351947E-2</v>
      </c>
      <c r="BK26" s="1"/>
      <c r="BL26" s="1"/>
      <c r="BM26" s="1"/>
      <c r="BN26" s="1"/>
      <c r="BO26" s="87" t="s">
        <v>80</v>
      </c>
      <c r="BP26" s="1">
        <v>3002.3</v>
      </c>
      <c r="BQ26" s="1"/>
      <c r="BR26" s="1"/>
      <c r="BS26" s="1"/>
      <c r="BT26" s="1"/>
      <c r="BU26" s="1"/>
      <c r="BV26" s="110">
        <v>71125</v>
      </c>
      <c r="BW26" s="1"/>
      <c r="BX26" s="1"/>
      <c r="BY26" s="1"/>
      <c r="BZ26" s="1"/>
      <c r="CA26" s="1"/>
      <c r="CB26" s="1"/>
      <c r="CC26" s="1"/>
      <c r="CD26" s="1"/>
      <c r="CE26" s="1"/>
      <c r="CF26" s="1"/>
      <c r="CG26" s="1"/>
      <c r="CH26" s="1">
        <v>42</v>
      </c>
      <c r="CI26" s="1"/>
      <c r="CJ26" s="7">
        <v>4.5</v>
      </c>
      <c r="CK26" s="7">
        <v>23.5</v>
      </c>
      <c r="CL26" s="7">
        <v>7</v>
      </c>
      <c r="CM26" s="4">
        <v>4500</v>
      </c>
      <c r="CN26" s="4">
        <v>3500</v>
      </c>
      <c r="CO26" s="23">
        <v>0.4</v>
      </c>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row>
    <row r="27" spans="1:123" x14ac:dyDescent="0.45">
      <c r="A27" s="52" t="s">
        <v>93</v>
      </c>
      <c r="B27" s="52"/>
      <c r="C27" s="52"/>
      <c r="D27" s="40">
        <v>2598.27</v>
      </c>
      <c r="E27" s="52"/>
      <c r="F27" s="52"/>
      <c r="G27" s="52"/>
      <c r="H27" s="52"/>
      <c r="I27" s="52"/>
      <c r="J27" s="76" t="s">
        <v>10</v>
      </c>
      <c r="K27" s="77">
        <f t="shared" si="1"/>
        <v>65100</v>
      </c>
      <c r="L27" s="77">
        <f t="shared" si="2"/>
        <v>260.39999999999998</v>
      </c>
      <c r="M27" s="77">
        <f t="shared" si="3"/>
        <v>0.95454545454545459</v>
      </c>
      <c r="N27" s="77">
        <f t="shared" si="4"/>
        <v>0.37366938008766432</v>
      </c>
      <c r="O27" s="77">
        <f t="shared" si="5"/>
        <v>2.2842105263157895</v>
      </c>
      <c r="P27" s="77">
        <f t="shared" si="6"/>
        <v>5.7105263157894735E-2</v>
      </c>
      <c r="Q27" s="26">
        <f t="shared" si="7"/>
        <v>0.29693683262782994</v>
      </c>
      <c r="R27" s="82"/>
      <c r="S27" s="82"/>
      <c r="T27" s="82"/>
      <c r="U27" s="82"/>
      <c r="V27" s="52"/>
      <c r="W27" s="52"/>
      <c r="X27" s="52"/>
      <c r="Y27" s="52"/>
      <c r="Z27" s="1"/>
      <c r="AA27" s="1"/>
      <c r="AB27" s="1"/>
      <c r="AC27" s="1"/>
      <c r="AD27" s="1"/>
      <c r="AE27" s="1"/>
      <c r="AF27" s="1"/>
      <c r="AG27" s="1"/>
      <c r="AH27" s="1" t="s">
        <v>93</v>
      </c>
      <c r="AI27" s="1"/>
      <c r="AJ27" s="1"/>
      <c r="AK27" s="43">
        <v>2598.27</v>
      </c>
      <c r="AL27" s="1"/>
      <c r="AM27" s="1"/>
      <c r="AN27" s="1"/>
      <c r="AO27" s="1"/>
      <c r="AP27" s="1"/>
      <c r="AQ27" s="1"/>
      <c r="AR27" s="1"/>
      <c r="AS27" s="1"/>
      <c r="AT27" s="1"/>
      <c r="AU27" s="1"/>
      <c r="AV27" s="1"/>
      <c r="AW27" s="1"/>
      <c r="AX27" s="1"/>
      <c r="AY27" s="1"/>
      <c r="AZ27" s="1"/>
      <c r="BA27" s="1"/>
      <c r="BB27" s="1"/>
      <c r="BC27" s="1" t="s">
        <v>4</v>
      </c>
      <c r="BD27" s="4">
        <f t="shared" ref="BD27:BD32" si="13">BE27*$D$15*$D$14</f>
        <v>13453.899999999998</v>
      </c>
      <c r="BE27" s="4">
        <f>BF17</f>
        <v>53.815599999999996</v>
      </c>
      <c r="BF27" s="4">
        <f t="shared" si="8"/>
        <v>0.19727126099706746</v>
      </c>
      <c r="BG27" s="4">
        <f t="shared" si="9"/>
        <v>7.7224431225213941E-2</v>
      </c>
      <c r="BH27" s="4">
        <f t="shared" si="10"/>
        <v>0.47206666666666663</v>
      </c>
      <c r="BI27" s="12">
        <f t="shared" si="12"/>
        <v>1.1801666666666665E-2</v>
      </c>
      <c r="BJ27" s="22">
        <f t="shared" si="11"/>
        <v>6.1366489285584663E-2</v>
      </c>
      <c r="BK27" s="1"/>
      <c r="BL27" s="1"/>
      <c r="BM27" s="1"/>
      <c r="BN27" s="1"/>
      <c r="BO27" s="91" t="s">
        <v>9</v>
      </c>
      <c r="BP27" s="1">
        <f>SUM(BP19:BP26)</f>
        <v>112827.23</v>
      </c>
      <c r="BQ27" s="1"/>
      <c r="BR27" s="1"/>
      <c r="BS27" s="1"/>
      <c r="BT27" s="1"/>
      <c r="BU27" s="1"/>
      <c r="BV27" s="88"/>
      <c r="BW27" s="1"/>
      <c r="BX27" s="5"/>
      <c r="BY27" s="1"/>
      <c r="BZ27" s="1"/>
      <c r="CA27" s="1"/>
      <c r="CB27" s="1"/>
      <c r="CC27" s="1"/>
      <c r="CD27" s="1"/>
      <c r="CE27" s="1"/>
      <c r="CF27" s="1"/>
      <c r="CG27" s="1"/>
      <c r="CH27" s="1">
        <v>43</v>
      </c>
      <c r="CI27" s="1"/>
      <c r="CJ27" s="7">
        <v>5</v>
      </c>
      <c r="CK27" s="7">
        <v>24</v>
      </c>
      <c r="CL27" s="7">
        <v>7.5</v>
      </c>
      <c r="CM27" s="4">
        <v>5000</v>
      </c>
      <c r="CN27" s="4">
        <v>4000</v>
      </c>
      <c r="CO27" s="23">
        <v>0.45</v>
      </c>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row>
    <row r="28" spans="1:123" x14ac:dyDescent="0.45">
      <c r="A28" s="52"/>
      <c r="B28" s="52"/>
      <c r="C28" s="52"/>
      <c r="D28" s="1"/>
      <c r="E28" s="52"/>
      <c r="F28" s="52"/>
      <c r="G28" s="52"/>
      <c r="H28" s="52"/>
      <c r="I28" s="52"/>
      <c r="J28" s="76" t="s">
        <v>2</v>
      </c>
      <c r="K28" s="77">
        <f t="shared" si="1"/>
        <v>45845.555555555555</v>
      </c>
      <c r="L28" s="77">
        <f t="shared" si="2"/>
        <v>183.3822222222222</v>
      </c>
      <c r="M28" s="77">
        <f t="shared" si="3"/>
        <v>0.67222222222222228</v>
      </c>
      <c r="N28" s="77">
        <f t="shared" si="4"/>
        <v>0.26315023539506943</v>
      </c>
      <c r="O28" s="77">
        <f t="shared" si="5"/>
        <v>1.6086159844054579</v>
      </c>
      <c r="P28" s="77">
        <f t="shared" si="6"/>
        <v>4.0215399610136447E-2</v>
      </c>
      <c r="Q28" s="26">
        <f t="shared" si="7"/>
        <v>0.20911265832150353</v>
      </c>
      <c r="R28" s="82"/>
      <c r="S28" s="82"/>
      <c r="T28" s="82"/>
      <c r="U28" s="82"/>
      <c r="V28" s="52"/>
      <c r="W28" s="52"/>
      <c r="X28" s="52"/>
      <c r="Y28" s="52"/>
      <c r="Z28" s="1"/>
      <c r="AA28" s="1"/>
      <c r="AB28" s="1"/>
      <c r="AC28" s="1"/>
      <c r="AD28" s="1"/>
      <c r="AE28" s="1"/>
      <c r="AF28" s="1"/>
      <c r="AG28" s="1"/>
      <c r="AH28" s="1"/>
      <c r="AI28" s="1"/>
      <c r="AJ28" s="1"/>
      <c r="AK28" s="25"/>
      <c r="AL28" s="1"/>
      <c r="AM28" s="1"/>
      <c r="AN28" s="1"/>
      <c r="AO28" s="1"/>
      <c r="AP28" s="1"/>
      <c r="AQ28" s="1"/>
      <c r="AR28" s="1"/>
      <c r="AS28" s="1"/>
      <c r="AT28" s="1"/>
      <c r="AU28" s="1"/>
      <c r="AV28" s="1"/>
      <c r="AW28" s="1"/>
      <c r="AX28" s="1"/>
      <c r="AY28" s="1"/>
      <c r="AZ28" s="1"/>
      <c r="BA28" s="1"/>
      <c r="BB28" s="1"/>
      <c r="BC28" s="1" t="s">
        <v>10</v>
      </c>
      <c r="BD28" s="4">
        <f>BE28*$D$15*$D$14</f>
        <v>65100</v>
      </c>
      <c r="BE28" s="4">
        <f>BE71</f>
        <v>260.39999999999998</v>
      </c>
      <c r="BF28" s="4">
        <f t="shared" si="8"/>
        <v>0.95454545454545459</v>
      </c>
      <c r="BG28" s="4">
        <f t="shared" si="9"/>
        <v>0.37366938008766432</v>
      </c>
      <c r="BH28" s="4">
        <f t="shared" si="10"/>
        <v>2.2842105263157895</v>
      </c>
      <c r="BI28" s="12">
        <f t="shared" si="12"/>
        <v>5.7105263157894735E-2</v>
      </c>
      <c r="BJ28" s="22">
        <f t="shared" si="11"/>
        <v>0.29693683262782994</v>
      </c>
      <c r="BK28" s="1"/>
      <c r="BL28" s="1"/>
      <c r="BM28" s="1"/>
      <c r="BN28" s="1"/>
      <c r="BO28" s="87"/>
      <c r="BP28" s="1"/>
      <c r="BQ28" s="1"/>
      <c r="BR28" s="5" t="s">
        <v>155</v>
      </c>
      <c r="BS28" s="10"/>
      <c r="BT28" s="1"/>
      <c r="BU28" s="1" t="s">
        <v>206</v>
      </c>
      <c r="BV28" s="88"/>
      <c r="BW28" s="1"/>
      <c r="BX28" s="1"/>
      <c r="BY28" s="1"/>
      <c r="BZ28" s="6"/>
      <c r="CA28" s="1"/>
      <c r="CB28" s="1"/>
      <c r="CC28" s="1"/>
      <c r="CD28" s="1"/>
      <c r="CE28" s="1"/>
      <c r="CF28" s="1"/>
      <c r="CG28" s="1"/>
      <c r="CH28" s="1">
        <v>44</v>
      </c>
      <c r="CI28" s="1"/>
      <c r="CJ28" s="7">
        <v>5.5</v>
      </c>
      <c r="CK28" s="7">
        <v>24.5</v>
      </c>
      <c r="CL28" s="7"/>
      <c r="CM28" s="4">
        <v>5500</v>
      </c>
      <c r="CN28" s="4">
        <v>4500</v>
      </c>
      <c r="CO28" s="23">
        <v>0.5</v>
      </c>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row>
    <row r="29" spans="1:123" x14ac:dyDescent="0.45">
      <c r="A29" s="57" t="s">
        <v>10</v>
      </c>
      <c r="B29" s="52"/>
      <c r="C29" s="52"/>
      <c r="D29" s="46"/>
      <c r="E29" s="52"/>
      <c r="F29" s="52"/>
      <c r="G29" s="52"/>
      <c r="H29" s="52"/>
      <c r="I29" s="52"/>
      <c r="J29" s="76" t="s">
        <v>14</v>
      </c>
      <c r="K29" s="77">
        <f t="shared" ref="K29:Q31" si="14">BD30</f>
        <v>4638.8465377855891</v>
      </c>
      <c r="L29" s="77">
        <f t="shared" si="14"/>
        <v>18.555386151142354</v>
      </c>
      <c r="M29" s="77">
        <f t="shared" si="14"/>
        <v>6.8018277680140612E-2</v>
      </c>
      <c r="N29" s="77">
        <f t="shared" si="14"/>
        <v>2.6626649924672029E-2</v>
      </c>
      <c r="O29" s="77">
        <f t="shared" si="14"/>
        <v>0.16276654518545924</v>
      </c>
      <c r="P29" s="77">
        <f t="shared" si="14"/>
        <v>4.0691636296364807E-3</v>
      </c>
      <c r="Q29" s="26">
        <f t="shared" si="14"/>
        <v>2.1158900122528846E-2</v>
      </c>
      <c r="R29" s="82"/>
      <c r="S29" s="82"/>
      <c r="T29" s="82"/>
      <c r="U29" s="82"/>
      <c r="V29" s="52"/>
      <c r="W29" s="52"/>
      <c r="X29" s="52"/>
      <c r="Y29" s="52"/>
      <c r="Z29" s="1"/>
      <c r="AA29" s="1"/>
      <c r="AB29" s="1"/>
      <c r="AC29" s="1"/>
      <c r="AD29" s="1"/>
      <c r="AE29" s="1"/>
      <c r="AF29" s="1"/>
      <c r="AG29" s="1"/>
      <c r="AH29" s="1" t="s">
        <v>10</v>
      </c>
      <c r="AI29" s="1"/>
      <c r="AJ29" s="1"/>
      <c r="AK29" s="25"/>
      <c r="AL29" s="1"/>
      <c r="AM29" s="1"/>
      <c r="AN29" s="1"/>
      <c r="AO29" s="1"/>
      <c r="AP29" s="1"/>
      <c r="AQ29" s="1"/>
      <c r="AR29" s="1"/>
      <c r="AS29" s="1"/>
      <c r="AT29" s="1"/>
      <c r="AU29" s="1"/>
      <c r="AV29" s="1"/>
      <c r="AW29" s="1"/>
      <c r="AX29" s="1"/>
      <c r="AY29" s="1"/>
      <c r="AZ29" s="1"/>
      <c r="BA29" s="1"/>
      <c r="BB29" s="1"/>
      <c r="BC29" s="1" t="s">
        <v>2</v>
      </c>
      <c r="BD29" s="4">
        <f>BE29*$D$15*$D$14</f>
        <v>45845.555555555555</v>
      </c>
      <c r="BE29" s="4">
        <f>D20*BI43*BE60</f>
        <v>183.3822222222222</v>
      </c>
      <c r="BF29" s="4">
        <f t="shared" si="8"/>
        <v>0.67222222222222228</v>
      </c>
      <c r="BG29" s="4">
        <f t="shared" si="9"/>
        <v>0.26315023539506943</v>
      </c>
      <c r="BH29" s="4">
        <f t="shared" si="10"/>
        <v>1.6086159844054579</v>
      </c>
      <c r="BI29" s="12">
        <f t="shared" si="12"/>
        <v>4.0215399610136447E-2</v>
      </c>
      <c r="BJ29" s="22">
        <f t="shared" si="11"/>
        <v>0.20911265832150353</v>
      </c>
      <c r="BK29" s="1"/>
      <c r="BL29" s="4"/>
      <c r="BM29" s="1"/>
      <c r="BN29" s="1"/>
      <c r="BO29" s="87" t="s">
        <v>84</v>
      </c>
      <c r="BP29" s="1">
        <v>194798.17</v>
      </c>
      <c r="BQ29" s="1"/>
      <c r="BR29" s="1" t="s">
        <v>66</v>
      </c>
      <c r="BS29" s="92">
        <v>0.30259999999999998</v>
      </c>
      <c r="BT29" s="1"/>
      <c r="BU29" s="5"/>
      <c r="BV29" s="111" t="s">
        <v>204</v>
      </c>
      <c r="BW29" s="1"/>
      <c r="BX29" s="1"/>
      <c r="BY29" s="1"/>
      <c r="BZ29" s="6"/>
      <c r="CA29" s="1"/>
      <c r="CB29" s="1"/>
      <c r="CC29" s="1"/>
      <c r="CD29" s="1"/>
      <c r="CE29" s="1"/>
      <c r="CF29" s="1"/>
      <c r="CG29" s="1"/>
      <c r="CH29" s="1">
        <v>45</v>
      </c>
      <c r="CI29" s="1"/>
      <c r="CJ29" s="7">
        <v>6</v>
      </c>
      <c r="CK29" s="7">
        <v>25</v>
      </c>
      <c r="CL29" s="7"/>
      <c r="CM29" s="4">
        <v>6000</v>
      </c>
      <c r="CN29" s="4">
        <v>5000</v>
      </c>
      <c r="CO29" s="23">
        <v>0.55000000000000004</v>
      </c>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row>
    <row r="30" spans="1:123" x14ac:dyDescent="0.45">
      <c r="A30" s="52" t="s">
        <v>64</v>
      </c>
      <c r="B30" s="52"/>
      <c r="C30" s="52"/>
      <c r="D30" s="19" t="s">
        <v>142</v>
      </c>
      <c r="E30" s="52"/>
      <c r="F30" s="52"/>
      <c r="G30" s="52"/>
      <c r="H30" s="52"/>
      <c r="I30" s="52"/>
      <c r="J30" s="76" t="s">
        <v>58</v>
      </c>
      <c r="K30" s="77">
        <f t="shared" si="14"/>
        <v>12117.919831282952</v>
      </c>
      <c r="L30" s="77">
        <f t="shared" si="14"/>
        <v>48.471679325131809</v>
      </c>
      <c r="M30" s="77">
        <f t="shared" si="14"/>
        <v>0.17768210896309317</v>
      </c>
      <c r="N30" s="77">
        <f t="shared" si="14"/>
        <v>6.9555999866474885E-2</v>
      </c>
      <c r="O30" s="77">
        <f t="shared" si="14"/>
        <v>0.42519016951870009</v>
      </c>
      <c r="P30" s="77">
        <f t="shared" si="14"/>
        <v>1.0629754237967502E-2</v>
      </c>
      <c r="Q30" s="26">
        <f t="shared" si="14"/>
        <v>5.5272760871568787E-2</v>
      </c>
      <c r="R30" s="82"/>
      <c r="S30" s="82"/>
      <c r="T30" s="82"/>
      <c r="U30" s="82"/>
      <c r="V30" s="52"/>
      <c r="W30" s="52"/>
      <c r="X30" s="52"/>
      <c r="Y30" s="52"/>
      <c r="Z30" s="1"/>
      <c r="AA30" s="1"/>
      <c r="AB30" s="1"/>
      <c r="AC30" s="1"/>
      <c r="AD30" s="1"/>
      <c r="AE30" s="1"/>
      <c r="AF30" s="1"/>
      <c r="AG30" s="1"/>
      <c r="AH30" s="1" t="s">
        <v>64</v>
      </c>
      <c r="AI30" s="1"/>
      <c r="AJ30" s="1"/>
      <c r="AK30" s="25" t="s">
        <v>142</v>
      </c>
      <c r="AL30" s="1"/>
      <c r="AM30" s="1"/>
      <c r="AN30" s="1"/>
      <c r="AO30" s="1"/>
      <c r="AP30" s="1"/>
      <c r="AQ30" s="1"/>
      <c r="AR30" s="1"/>
      <c r="AS30" s="1"/>
      <c r="AT30" s="1"/>
      <c r="AU30" s="1"/>
      <c r="AV30" s="1"/>
      <c r="AW30" s="1"/>
      <c r="AX30" s="1"/>
      <c r="AY30" s="1"/>
      <c r="AZ30" s="1"/>
      <c r="BA30" s="1"/>
      <c r="BB30" s="1"/>
      <c r="BC30" s="1" t="s">
        <v>14</v>
      </c>
      <c r="BD30" s="4">
        <f t="shared" si="13"/>
        <v>4638.8465377855891</v>
      </c>
      <c r="BE30" s="4">
        <f>BJ43*BE60</f>
        <v>18.555386151142354</v>
      </c>
      <c r="BF30" s="4">
        <f t="shared" si="8"/>
        <v>6.8018277680140612E-2</v>
      </c>
      <c r="BG30" s="4">
        <f t="shared" si="9"/>
        <v>2.6626649924672029E-2</v>
      </c>
      <c r="BH30" s="4">
        <f t="shared" si="10"/>
        <v>0.16276654518545924</v>
      </c>
      <c r="BI30" s="12">
        <f t="shared" si="12"/>
        <v>4.0691636296364807E-3</v>
      </c>
      <c r="BJ30" s="22">
        <f t="shared" si="11"/>
        <v>2.1158900122528846E-2</v>
      </c>
      <c r="BK30" s="1"/>
      <c r="BL30" s="1"/>
      <c r="BM30" s="1"/>
      <c r="BN30" s="1"/>
      <c r="BO30" s="87" t="s">
        <v>85</v>
      </c>
      <c r="BP30" s="1">
        <v>103309.52</v>
      </c>
      <c r="BQ30" s="1"/>
      <c r="BR30" s="1" t="s">
        <v>57</v>
      </c>
      <c r="BS30" s="1">
        <v>0</v>
      </c>
      <c r="BT30" s="1"/>
      <c r="BU30" s="1" t="s">
        <v>75</v>
      </c>
      <c r="BV30" s="112">
        <f>BP20/BV26</f>
        <v>6.8018277680140599E-2</v>
      </c>
      <c r="BW30" s="1"/>
      <c r="BX30" s="1"/>
      <c r="BY30" s="1"/>
      <c r="BZ30" s="6"/>
      <c r="CA30" s="1"/>
      <c r="CB30" s="1"/>
      <c r="CC30" s="1"/>
      <c r="CD30" s="1"/>
      <c r="CE30" s="1"/>
      <c r="CF30" s="1"/>
      <c r="CG30" s="1"/>
      <c r="CH30" s="1">
        <v>46</v>
      </c>
      <c r="CI30" s="1"/>
      <c r="CJ30" s="7">
        <v>6.5</v>
      </c>
      <c r="CK30" s="7">
        <v>25.5</v>
      </c>
      <c r="CL30" s="7"/>
      <c r="CM30" s="4">
        <v>6500</v>
      </c>
      <c r="CN30" s="4">
        <v>5500</v>
      </c>
      <c r="CO30" s="23">
        <v>0.6</v>
      </c>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row>
    <row r="31" spans="1:123" x14ac:dyDescent="0.45">
      <c r="A31" s="52" t="s">
        <v>97</v>
      </c>
      <c r="B31" s="52"/>
      <c r="C31" s="52"/>
      <c r="D31" s="24">
        <v>26.04</v>
      </c>
      <c r="E31" s="83"/>
      <c r="F31" s="52"/>
      <c r="G31" s="52"/>
      <c r="H31" s="52"/>
      <c r="I31" s="52"/>
      <c r="J31" s="76" t="s">
        <v>59</v>
      </c>
      <c r="K31" s="77">
        <f t="shared" si="14"/>
        <v>1432.1999999999998</v>
      </c>
      <c r="L31" s="77">
        <f t="shared" si="14"/>
        <v>5.7287999999999997</v>
      </c>
      <c r="M31" s="77">
        <f t="shared" si="14"/>
        <v>2.1000000000000001E-2</v>
      </c>
      <c r="N31" s="77">
        <f t="shared" si="14"/>
        <v>8.2207263619286149E-3</v>
      </c>
      <c r="O31" s="77">
        <f t="shared" si="14"/>
        <v>5.0252631578947368E-2</v>
      </c>
      <c r="P31" s="77">
        <f t="shared" si="14"/>
        <v>1.2563157894736842E-3</v>
      </c>
      <c r="Q31" s="26">
        <f t="shared" si="14"/>
        <v>6.5326103178122595E-3</v>
      </c>
      <c r="R31" s="82"/>
      <c r="S31" s="82"/>
      <c r="T31" s="82"/>
      <c r="U31" s="82"/>
      <c r="V31" s="52"/>
      <c r="W31" s="52"/>
      <c r="X31" s="52"/>
      <c r="Y31" s="52"/>
      <c r="Z31" s="1"/>
      <c r="AA31" s="1"/>
      <c r="AB31" s="1"/>
      <c r="AC31" s="1"/>
      <c r="AD31" s="1"/>
      <c r="AE31" s="1"/>
      <c r="AF31" s="1"/>
      <c r="AG31" s="1"/>
      <c r="AH31" s="1" t="s">
        <v>97</v>
      </c>
      <c r="AI31" s="1"/>
      <c r="AJ31" s="1"/>
      <c r="AK31" s="25">
        <v>26.04</v>
      </c>
      <c r="AL31" s="1"/>
      <c r="AM31" s="1"/>
      <c r="AN31" s="1"/>
      <c r="AO31" s="1"/>
      <c r="AP31" s="1"/>
      <c r="AQ31" s="1"/>
      <c r="AR31" s="1"/>
      <c r="AS31" s="1"/>
      <c r="AT31" s="1"/>
      <c r="AU31" s="1"/>
      <c r="AV31" s="1"/>
      <c r="AW31" s="1"/>
      <c r="AX31" s="1"/>
      <c r="AY31" s="1"/>
      <c r="AZ31" s="1"/>
      <c r="BA31" s="1"/>
      <c r="BB31" s="1"/>
      <c r="BC31" s="1" t="s">
        <v>58</v>
      </c>
      <c r="BD31" s="4">
        <f>BE31*$D$15*$D$14</f>
        <v>12117.919831282952</v>
      </c>
      <c r="BE31" s="4">
        <f>(BK43*BE60)</f>
        <v>48.471679325131809</v>
      </c>
      <c r="BF31" s="4">
        <f t="shared" si="8"/>
        <v>0.17768210896309317</v>
      </c>
      <c r="BG31" s="4">
        <f t="shared" si="9"/>
        <v>6.9555999866474885E-2</v>
      </c>
      <c r="BH31" s="4">
        <f t="shared" si="10"/>
        <v>0.42519016951870009</v>
      </c>
      <c r="BI31" s="12">
        <f t="shared" si="12"/>
        <v>1.0629754237967502E-2</v>
      </c>
      <c r="BJ31" s="22">
        <f t="shared" si="11"/>
        <v>5.5272760871568787E-2</v>
      </c>
      <c r="BK31" s="1"/>
      <c r="BL31" s="1"/>
      <c r="BM31" s="1"/>
      <c r="BN31" s="1"/>
      <c r="BO31" s="87" t="s">
        <v>92</v>
      </c>
      <c r="BP31" s="1">
        <v>0.09</v>
      </c>
      <c r="BQ31" s="1"/>
      <c r="BR31" s="1"/>
      <c r="BS31" s="1"/>
      <c r="BT31" s="1"/>
      <c r="BU31" s="1" t="s">
        <v>205</v>
      </c>
      <c r="BV31" s="112">
        <f>BP19/BV26</f>
        <v>0.17768210896309314</v>
      </c>
      <c r="BW31" s="1"/>
      <c r="BX31" s="1"/>
      <c r="BY31" s="1"/>
      <c r="BZ31" s="6"/>
      <c r="CA31" s="1"/>
      <c r="CB31" s="1"/>
      <c r="CC31" s="1"/>
      <c r="CD31" s="1"/>
      <c r="CE31" s="1"/>
      <c r="CF31" s="1"/>
      <c r="CG31" s="1"/>
      <c r="CH31" s="1">
        <v>47</v>
      </c>
      <c r="CI31" s="1"/>
      <c r="CJ31" s="7">
        <v>7</v>
      </c>
      <c r="CK31" s="7">
        <v>26</v>
      </c>
      <c r="CL31" s="7"/>
      <c r="CM31" s="4">
        <v>7000</v>
      </c>
      <c r="CN31" s="4">
        <v>6000</v>
      </c>
      <c r="CO31" s="23">
        <v>0.65</v>
      </c>
      <c r="CP31" s="1"/>
      <c r="CQ31" s="1"/>
      <c r="CR31" s="1"/>
      <c r="CS31" s="1"/>
      <c r="CT31" s="1"/>
      <c r="CU31" s="1"/>
      <c r="CV31" s="1"/>
      <c r="CW31" s="1"/>
      <c r="CX31" s="1"/>
      <c r="CY31" s="1"/>
      <c r="CZ31" s="1"/>
      <c r="DA31" s="1"/>
      <c r="DB31" s="1"/>
      <c r="DC31" s="1"/>
      <c r="DD31" s="1"/>
      <c r="DE31" s="1"/>
      <c r="DF31" s="10"/>
      <c r="DG31" s="1"/>
      <c r="DH31" s="10"/>
      <c r="DI31" s="1"/>
      <c r="DJ31" s="10"/>
      <c r="DK31" s="1"/>
      <c r="DL31" s="1"/>
      <c r="DM31" s="1"/>
      <c r="DN31" s="1"/>
      <c r="DO31" s="1"/>
      <c r="DP31" s="1"/>
      <c r="DQ31" s="1"/>
      <c r="DR31" s="1"/>
      <c r="DS31" s="1"/>
    </row>
    <row r="32" spans="1:123" x14ac:dyDescent="0.45">
      <c r="A32" s="52"/>
      <c r="B32" s="52"/>
      <c r="C32" s="52"/>
      <c r="D32" s="1"/>
      <c r="E32" s="52"/>
      <c r="F32" s="52"/>
      <c r="G32" s="52"/>
      <c r="H32" s="52"/>
      <c r="I32" s="52"/>
      <c r="J32" s="52"/>
      <c r="K32" s="78"/>
      <c r="L32" s="78"/>
      <c r="M32" s="52"/>
      <c r="N32"/>
      <c r="O32" s="78"/>
      <c r="P32" s="78"/>
      <c r="Q32" s="52"/>
      <c r="R32" s="82"/>
      <c r="S32" s="82"/>
      <c r="T32" s="82"/>
      <c r="U32" s="82"/>
      <c r="V32" s="52"/>
      <c r="W32" s="52"/>
      <c r="X32" s="52"/>
      <c r="Y32" s="52"/>
      <c r="Z32" s="1"/>
      <c r="AA32" s="1"/>
      <c r="AB32" s="1"/>
      <c r="AC32" s="1"/>
      <c r="AD32" s="1"/>
      <c r="AE32" s="1"/>
      <c r="AF32" s="1"/>
      <c r="AG32" s="1"/>
      <c r="AH32" s="1"/>
      <c r="AI32" s="1"/>
      <c r="AJ32" s="1"/>
      <c r="AK32" s="25"/>
      <c r="AL32" s="1"/>
      <c r="AM32" s="1"/>
      <c r="AN32" s="1"/>
      <c r="AO32" s="1"/>
      <c r="AP32" s="1"/>
      <c r="AQ32" s="1"/>
      <c r="AR32" s="1"/>
      <c r="AS32" s="1"/>
      <c r="AT32" s="1"/>
      <c r="AU32" s="1"/>
      <c r="AV32" s="1"/>
      <c r="AW32" s="1"/>
      <c r="AX32" s="1"/>
      <c r="AY32" s="1"/>
      <c r="AZ32" s="1"/>
      <c r="BA32" s="1"/>
      <c r="BB32" s="1"/>
      <c r="BC32" s="1" t="s">
        <v>59</v>
      </c>
      <c r="BD32" s="4">
        <f t="shared" si="13"/>
        <v>1432.1999999999998</v>
      </c>
      <c r="BE32" s="4">
        <f>BL43*BE60</f>
        <v>5.7287999999999997</v>
      </c>
      <c r="BF32" s="4">
        <f t="shared" si="8"/>
        <v>2.1000000000000001E-2</v>
      </c>
      <c r="BG32" s="4">
        <f t="shared" si="9"/>
        <v>8.2207263619286149E-3</v>
      </c>
      <c r="BH32" s="4">
        <f t="shared" si="10"/>
        <v>5.0252631578947368E-2</v>
      </c>
      <c r="BI32" s="12">
        <f t="shared" si="12"/>
        <v>1.2563157894736842E-3</v>
      </c>
      <c r="BJ32" s="22">
        <f t="shared" si="11"/>
        <v>6.5326103178122595E-3</v>
      </c>
      <c r="BK32" s="1"/>
      <c r="BL32" s="1"/>
      <c r="BM32" s="1"/>
      <c r="BN32" s="1"/>
      <c r="BO32" s="87" t="s">
        <v>45</v>
      </c>
      <c r="BP32" s="1">
        <v>4</v>
      </c>
      <c r="BQ32" s="1"/>
      <c r="BR32" s="5" t="s">
        <v>89</v>
      </c>
      <c r="BS32" s="1"/>
      <c r="BT32" s="1"/>
      <c r="BU32" s="1" t="s">
        <v>59</v>
      </c>
      <c r="BV32" s="112">
        <v>2.1000000000000001E-2</v>
      </c>
      <c r="BW32" s="1"/>
      <c r="BX32" s="1"/>
      <c r="BY32" s="1"/>
      <c r="BZ32" s="6"/>
      <c r="CA32" s="1"/>
      <c r="CB32" s="1"/>
      <c r="CC32" s="1"/>
      <c r="CD32" s="1"/>
      <c r="CE32" s="1"/>
      <c r="CF32" s="1"/>
      <c r="CG32" s="1"/>
      <c r="CH32" s="1">
        <v>48</v>
      </c>
      <c r="CI32" s="1"/>
      <c r="CJ32" s="7">
        <v>7.5</v>
      </c>
      <c r="CK32" s="7">
        <v>26.5</v>
      </c>
      <c r="CL32" s="7"/>
      <c r="CM32" s="4">
        <v>7500</v>
      </c>
      <c r="CN32" s="4">
        <v>6500</v>
      </c>
      <c r="CO32" s="23">
        <v>0.7</v>
      </c>
      <c r="CP32" s="1"/>
      <c r="CQ32" s="1"/>
      <c r="CR32" s="1"/>
      <c r="CS32" s="1"/>
      <c r="CT32" s="1"/>
      <c r="CU32" s="1"/>
      <c r="CV32" s="1"/>
      <c r="CW32" s="1"/>
      <c r="CX32" s="1"/>
      <c r="CY32" s="1"/>
      <c r="CZ32" s="1"/>
      <c r="DA32" s="1"/>
      <c r="DB32" s="1"/>
      <c r="DC32" s="1"/>
      <c r="DD32" s="1"/>
      <c r="DE32" s="1"/>
      <c r="DF32" s="11"/>
      <c r="DG32" s="1"/>
      <c r="DH32" s="1"/>
      <c r="DI32" s="1"/>
      <c r="DJ32" s="1"/>
      <c r="DK32" s="1"/>
      <c r="DL32" s="1"/>
      <c r="DM32" s="1"/>
      <c r="DN32" s="1"/>
      <c r="DO32" s="1"/>
      <c r="DP32" s="1"/>
      <c r="DQ32" s="1"/>
      <c r="DR32" s="1"/>
      <c r="DS32" s="1"/>
    </row>
    <row r="33" spans="1:123" x14ac:dyDescent="0.45">
      <c r="A33" s="52" t="s">
        <v>121</v>
      </c>
      <c r="B33" s="52"/>
      <c r="C33" s="52"/>
      <c r="D33" s="20" t="s">
        <v>57</v>
      </c>
      <c r="E33" s="52"/>
      <c r="F33" s="52"/>
      <c r="G33" s="52"/>
      <c r="H33" s="52"/>
      <c r="I33" s="52"/>
      <c r="J33" s="52" t="s">
        <v>9</v>
      </c>
      <c r="K33" s="80">
        <f>BD34</f>
        <v>219238.54788871546</v>
      </c>
      <c r="L33" s="81">
        <f>SUM(L23:L31)</f>
        <v>876.95419155486195</v>
      </c>
      <c r="M33" s="80">
        <f>SUM(M23:M31)</f>
        <v>3.2146414646439223</v>
      </c>
      <c r="N33" s="81">
        <f>SUM(N23:N31)</f>
        <v>1.2584137063117671</v>
      </c>
      <c r="O33" s="81">
        <f>SUM(O23:O31)</f>
        <v>7.6925806276742277</v>
      </c>
      <c r="P33" s="81">
        <f>SUM(P23:P31)</f>
        <v>0.19231451569185568</v>
      </c>
      <c r="Q33" s="27">
        <f>BJ34</f>
        <v>0.99999999999999978</v>
      </c>
      <c r="R33" s="52"/>
      <c r="S33" s="52"/>
      <c r="T33" s="52"/>
      <c r="U33" s="52"/>
      <c r="V33" s="52"/>
      <c r="W33" s="52"/>
      <c r="X33" s="52"/>
      <c r="Y33" s="52"/>
      <c r="Z33" s="1"/>
      <c r="AA33" s="1"/>
      <c r="AB33" s="1"/>
      <c r="AC33" s="1"/>
      <c r="AD33" s="1"/>
      <c r="AE33" s="1"/>
      <c r="AF33" s="1"/>
      <c r="AG33" s="1"/>
      <c r="AH33" s="1" t="s">
        <v>121</v>
      </c>
      <c r="AI33" s="1"/>
      <c r="AJ33" s="1"/>
      <c r="AK33" s="25" t="s">
        <v>57</v>
      </c>
      <c r="AL33" s="1"/>
      <c r="AM33" s="1"/>
      <c r="AN33" s="1"/>
      <c r="AO33" s="1"/>
      <c r="AP33" s="1"/>
      <c r="AQ33" s="1"/>
      <c r="AR33" s="1"/>
      <c r="AS33" s="1"/>
      <c r="AT33" s="1"/>
      <c r="AU33" s="1"/>
      <c r="AV33" s="1"/>
      <c r="AW33" s="1"/>
      <c r="AX33" s="1"/>
      <c r="AY33" s="1"/>
      <c r="AZ33" s="1"/>
      <c r="BA33" s="1"/>
      <c r="BB33" s="1"/>
      <c r="BC33" s="1"/>
      <c r="BD33" s="1"/>
      <c r="BE33" s="4"/>
      <c r="BF33" s="1"/>
      <c r="BG33" s="4"/>
      <c r="BH33" s="4"/>
      <c r="BI33" s="4"/>
      <c r="BJ33" s="1"/>
      <c r="BK33" s="1"/>
      <c r="BL33" s="1"/>
      <c r="BM33" s="1"/>
      <c r="BN33" s="1"/>
      <c r="BO33" s="87" t="s">
        <v>167</v>
      </c>
      <c r="BP33" s="7">
        <f>0.3*BP29</f>
        <v>58439.451000000001</v>
      </c>
      <c r="BQ33" s="1"/>
      <c r="BR33" s="1" t="s">
        <v>90</v>
      </c>
      <c r="BS33" s="1">
        <v>59372.83</v>
      </c>
      <c r="BT33" s="1"/>
      <c r="BU33" s="1"/>
      <c r="BV33" s="88"/>
      <c r="BW33" s="1"/>
      <c r="BX33" s="1"/>
      <c r="BY33" s="1"/>
      <c r="BZ33" s="1"/>
      <c r="CA33" s="1"/>
      <c r="CB33" s="1"/>
      <c r="CC33" s="1"/>
      <c r="CD33" s="1"/>
      <c r="CE33" s="1"/>
      <c r="CF33" s="1"/>
      <c r="CG33" s="1"/>
      <c r="CH33" s="1">
        <v>49</v>
      </c>
      <c r="CI33" s="1"/>
      <c r="CJ33" s="7">
        <v>8</v>
      </c>
      <c r="CK33" s="7">
        <v>27</v>
      </c>
      <c r="CL33" s="7"/>
      <c r="CM33" s="4">
        <v>8000</v>
      </c>
      <c r="CN33" s="4">
        <v>7000</v>
      </c>
      <c r="CO33" s="23">
        <v>0.75</v>
      </c>
      <c r="CP33" s="1"/>
      <c r="CQ33" s="1"/>
      <c r="CR33" s="1"/>
      <c r="CS33" s="1"/>
      <c r="CT33" s="1"/>
      <c r="CU33" s="1"/>
      <c r="CV33" s="1"/>
      <c r="CW33" s="1"/>
      <c r="CX33" s="1"/>
      <c r="CY33" s="1"/>
      <c r="CZ33" s="1"/>
      <c r="DA33" s="1"/>
      <c r="DB33" s="1"/>
      <c r="DC33" s="1"/>
      <c r="DD33" s="1"/>
      <c r="DE33" s="1"/>
      <c r="DF33" s="11"/>
      <c r="DG33" s="11"/>
      <c r="DH33" s="11"/>
      <c r="DI33" s="11"/>
      <c r="DJ33" s="11"/>
      <c r="DK33" s="1"/>
      <c r="DL33" s="1"/>
      <c r="DM33" s="1"/>
      <c r="DN33" s="1"/>
      <c r="DO33" s="1"/>
      <c r="DP33" s="1"/>
      <c r="DQ33" s="1"/>
      <c r="DR33" s="1"/>
      <c r="DS33" s="1"/>
    </row>
    <row r="34" spans="1:123" x14ac:dyDescent="0.45">
      <c r="A34" s="52"/>
      <c r="B34" s="52"/>
      <c r="C34" s="52"/>
      <c r="D34" s="1"/>
      <c r="E34" s="52"/>
      <c r="F34" s="52"/>
      <c r="G34" s="52"/>
      <c r="H34" s="52"/>
      <c r="I34" s="52"/>
      <c r="J34" s="52"/>
      <c r="K34" s="52"/>
      <c r="L34" s="52"/>
      <c r="M34" s="52"/>
      <c r="N34" s="52"/>
      <c r="O34" s="52"/>
      <c r="P34" s="52"/>
      <c r="Q34" s="52"/>
      <c r="R34" s="52"/>
      <c r="S34" s="52"/>
      <c r="T34" s="52"/>
      <c r="U34" s="52"/>
      <c r="V34" s="52"/>
      <c r="W34" s="52"/>
      <c r="X34" s="52"/>
      <c r="Y34" s="52"/>
      <c r="Z34" s="1"/>
      <c r="AA34" s="1"/>
      <c r="AB34" s="1"/>
      <c r="AC34" s="1"/>
      <c r="AD34" s="1"/>
      <c r="AE34" s="1"/>
      <c r="AF34" s="1"/>
      <c r="AG34" s="1"/>
      <c r="AH34" s="1"/>
      <c r="AI34" s="1"/>
      <c r="AJ34" s="1"/>
      <c r="AK34" s="25"/>
      <c r="AL34" s="1"/>
      <c r="AM34" s="1"/>
      <c r="AN34" s="1"/>
      <c r="AO34" s="1"/>
      <c r="AP34" s="1"/>
      <c r="AQ34" s="1"/>
      <c r="AR34" s="1"/>
      <c r="AS34" s="1"/>
      <c r="AT34" s="1"/>
      <c r="AU34" s="1"/>
      <c r="AV34" s="1"/>
      <c r="AW34" s="1"/>
      <c r="AX34" s="1"/>
      <c r="AY34" s="1"/>
      <c r="AZ34" s="1"/>
      <c r="BA34" s="1"/>
      <c r="BB34" s="1"/>
      <c r="BC34" s="1" t="s">
        <v>9</v>
      </c>
      <c r="BD34" s="4">
        <f t="shared" ref="BD34:BJ34" si="15">SUM(BD24:BD32)</f>
        <v>219238.54788871546</v>
      </c>
      <c r="BE34" s="8">
        <f t="shared" si="15"/>
        <v>876.95419155486195</v>
      </c>
      <c r="BF34" s="4">
        <f t="shared" si="15"/>
        <v>3.2146414646439223</v>
      </c>
      <c r="BG34" s="4">
        <f t="shared" si="15"/>
        <v>1.2584137063117671</v>
      </c>
      <c r="BH34" s="8">
        <f t="shared" si="15"/>
        <v>7.6925806276742277</v>
      </c>
      <c r="BI34" s="8">
        <f t="shared" si="15"/>
        <v>0.19231451569185568</v>
      </c>
      <c r="BJ34" s="10">
        <f t="shared" si="15"/>
        <v>0.99999999999999978</v>
      </c>
      <c r="BK34" s="1"/>
      <c r="BL34" s="1"/>
      <c r="BM34" s="1"/>
      <c r="BN34" s="1"/>
      <c r="BO34" s="93" t="s">
        <v>168</v>
      </c>
      <c r="BP34" s="94">
        <f>0.3*BP30</f>
        <v>30992.856</v>
      </c>
      <c r="BQ34" s="1"/>
      <c r="BR34" s="1" t="s">
        <v>98</v>
      </c>
      <c r="BS34" s="1">
        <v>1</v>
      </c>
      <c r="BT34" s="1"/>
      <c r="BU34" s="1" t="s">
        <v>207</v>
      </c>
      <c r="BV34" s="88"/>
      <c r="BW34" s="1"/>
      <c r="BX34" s="1"/>
      <c r="BY34" s="1"/>
      <c r="BZ34" s="1"/>
      <c r="CA34" s="1"/>
      <c r="CB34" s="1"/>
      <c r="CC34" s="1"/>
      <c r="CD34" s="1"/>
      <c r="CE34" s="1"/>
      <c r="CF34" s="1"/>
      <c r="CG34" s="1"/>
      <c r="CH34" s="1">
        <v>50</v>
      </c>
      <c r="CI34" s="1"/>
      <c r="CJ34" s="7">
        <v>8.5</v>
      </c>
      <c r="CK34" s="7">
        <v>27.5</v>
      </c>
      <c r="CL34" s="7"/>
      <c r="CM34" s="4">
        <v>8500</v>
      </c>
      <c r="CN34" s="4">
        <v>7500</v>
      </c>
      <c r="CO34" s="23">
        <v>0.8</v>
      </c>
      <c r="CP34" s="1"/>
      <c r="CQ34" s="1"/>
      <c r="CR34" s="1"/>
      <c r="CS34" s="1"/>
      <c r="CT34" s="1"/>
      <c r="CU34" s="1"/>
      <c r="CV34" s="1"/>
      <c r="CW34" s="1"/>
      <c r="CX34" s="1"/>
      <c r="CY34" s="1"/>
      <c r="CZ34" s="1"/>
      <c r="DA34" s="1"/>
      <c r="DB34" s="1"/>
      <c r="DC34" s="1"/>
      <c r="DD34" s="1"/>
      <c r="DE34" s="1"/>
      <c r="DF34" s="11"/>
      <c r="DG34" s="11"/>
      <c r="DH34" s="11"/>
      <c r="DI34" s="11"/>
      <c r="DJ34" s="11"/>
      <c r="DK34" s="1"/>
      <c r="DL34" s="11"/>
      <c r="DM34" s="1"/>
      <c r="DN34" s="1"/>
      <c r="DO34" s="1"/>
      <c r="DP34" s="1"/>
      <c r="DQ34" s="1"/>
      <c r="DR34" s="1"/>
      <c r="DS34" s="1"/>
    </row>
    <row r="35" spans="1:123" x14ac:dyDescent="0.45">
      <c r="A35" s="57" t="s">
        <v>65</v>
      </c>
      <c r="B35" s="52"/>
      <c r="C35" s="52"/>
      <c r="D35" s="25"/>
      <c r="E35" s="52"/>
      <c r="F35" s="52"/>
      <c r="G35" s="52"/>
      <c r="H35" s="52"/>
      <c r="I35" s="52"/>
      <c r="J35" s="52"/>
      <c r="K35" s="52"/>
      <c r="L35" s="52"/>
      <c r="M35" s="52"/>
      <c r="N35" s="52"/>
      <c r="O35" s="52"/>
      <c r="P35" s="52"/>
      <c r="Q35" s="52"/>
      <c r="R35" s="52"/>
      <c r="S35" s="52"/>
      <c r="T35" s="52"/>
      <c r="U35" s="52"/>
      <c r="V35" s="52"/>
      <c r="W35" s="52"/>
      <c r="X35" s="52"/>
      <c r="Y35" s="52"/>
      <c r="Z35" s="1"/>
      <c r="AA35" s="1"/>
      <c r="AB35" s="1"/>
      <c r="AC35" s="1"/>
      <c r="AD35" s="1"/>
      <c r="AE35" s="1"/>
      <c r="AF35" s="1"/>
      <c r="AG35" s="1"/>
      <c r="AH35" s="1" t="s">
        <v>65</v>
      </c>
      <c r="AI35" s="1"/>
      <c r="AJ35" s="1"/>
      <c r="AK35" s="25"/>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87"/>
      <c r="BP35" s="1"/>
      <c r="BQ35" s="1"/>
      <c r="BR35" s="1"/>
      <c r="BS35" s="1"/>
      <c r="BT35" s="1"/>
      <c r="BU35" s="5"/>
      <c r="BV35" s="111" t="s">
        <v>204</v>
      </c>
      <c r="BW35" s="1"/>
      <c r="BX35" s="1"/>
      <c r="BY35" s="1"/>
      <c r="BZ35" s="1"/>
      <c r="CA35" s="1"/>
      <c r="CB35" s="1"/>
      <c r="CC35" s="1"/>
      <c r="CD35" s="1"/>
      <c r="CE35" s="1"/>
      <c r="CF35" s="1"/>
      <c r="CG35" s="1"/>
      <c r="CH35" s="1">
        <v>51</v>
      </c>
      <c r="CI35" s="1"/>
      <c r="CJ35" s="7">
        <v>9</v>
      </c>
      <c r="CK35" s="7">
        <v>28</v>
      </c>
      <c r="CL35" s="7"/>
      <c r="CM35" s="4">
        <v>9000</v>
      </c>
      <c r="CN35" s="4">
        <v>8000</v>
      </c>
      <c r="CO35" s="23">
        <v>0.85</v>
      </c>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row>
    <row r="36" spans="1:123" x14ac:dyDescent="0.45">
      <c r="A36" s="62" t="s">
        <v>16</v>
      </c>
      <c r="B36" s="52"/>
      <c r="C36" s="52"/>
      <c r="D36" s="47" t="s">
        <v>181</v>
      </c>
      <c r="E36" s="52"/>
      <c r="F36" s="52"/>
      <c r="G36" s="52"/>
      <c r="H36" s="52"/>
      <c r="I36" s="52"/>
      <c r="J36" s="52"/>
      <c r="K36" s="52"/>
      <c r="L36" s="52"/>
      <c r="M36" s="52"/>
      <c r="N36" s="52"/>
      <c r="O36" s="52"/>
      <c r="P36" s="52"/>
      <c r="Q36" s="52"/>
      <c r="R36" s="52"/>
      <c r="S36" s="52"/>
      <c r="T36" s="52"/>
      <c r="U36" s="52"/>
      <c r="V36" s="52"/>
      <c r="W36" s="52"/>
      <c r="X36" s="52"/>
      <c r="Y36" s="52"/>
      <c r="Z36" s="1"/>
      <c r="AA36" s="1"/>
      <c r="AB36" s="1"/>
      <c r="AC36" s="1"/>
      <c r="AD36" s="1"/>
      <c r="AE36" s="1"/>
      <c r="AF36" s="1"/>
      <c r="AG36" s="1"/>
      <c r="AH36" s="1" t="s">
        <v>16</v>
      </c>
      <c r="AI36" s="1"/>
      <c r="AJ36" s="1"/>
      <c r="AK36" s="25" t="s">
        <v>160</v>
      </c>
      <c r="AL36" s="1"/>
      <c r="AM36" s="1"/>
      <c r="AN36" s="1"/>
      <c r="AO36" s="1"/>
      <c r="AP36" s="1"/>
      <c r="AQ36" s="1"/>
      <c r="AR36" s="1"/>
      <c r="AS36" s="1"/>
      <c r="AT36" s="1"/>
      <c r="AU36" s="1"/>
      <c r="AV36" s="1"/>
      <c r="AW36" s="1"/>
      <c r="AX36" s="1"/>
      <c r="AY36" s="1"/>
      <c r="AZ36" s="1"/>
      <c r="BA36" s="1"/>
      <c r="BB36" s="1"/>
      <c r="BC36" s="3" t="s">
        <v>15</v>
      </c>
      <c r="BD36" s="1"/>
      <c r="BE36" s="1">
        <f>D18*BE60</f>
        <v>114</v>
      </c>
      <c r="BF36" s="1"/>
      <c r="BG36" s="1"/>
      <c r="BH36" s="1"/>
      <c r="BI36" s="1"/>
      <c r="BJ36" s="1"/>
      <c r="BK36" s="1"/>
      <c r="BL36" s="1"/>
      <c r="BM36" s="1"/>
      <c r="BN36" s="1"/>
      <c r="BO36" s="91" t="s">
        <v>86</v>
      </c>
      <c r="BP36" s="1"/>
      <c r="BQ36" s="1"/>
      <c r="BR36" s="1"/>
      <c r="BS36" s="1"/>
      <c r="BT36" s="1"/>
      <c r="BU36" s="1" t="s">
        <v>75</v>
      </c>
      <c r="BV36" s="112">
        <v>4.7E-2</v>
      </c>
      <c r="BW36" s="1"/>
      <c r="BX36" s="1"/>
      <c r="BY36" s="1"/>
      <c r="BZ36" s="1"/>
      <c r="CA36" s="1"/>
      <c r="CB36" s="1"/>
      <c r="CC36" s="1"/>
      <c r="CD36" s="1"/>
      <c r="CE36" s="1"/>
      <c r="CF36" s="1"/>
      <c r="CG36" s="1"/>
      <c r="CH36" s="1">
        <v>52</v>
      </c>
      <c r="CI36" s="1"/>
      <c r="CJ36" s="7">
        <v>9.5</v>
      </c>
      <c r="CK36" s="7">
        <v>28.5</v>
      </c>
      <c r="CL36" s="7"/>
      <c r="CM36" s="4">
        <v>9500</v>
      </c>
      <c r="CN36" s="4">
        <v>8500</v>
      </c>
      <c r="CO36" s="23">
        <v>0.9</v>
      </c>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row>
    <row r="37" spans="1:123" x14ac:dyDescent="0.45">
      <c r="A37" s="52" t="s">
        <v>46</v>
      </c>
      <c r="B37" s="52"/>
      <c r="C37" s="52"/>
      <c r="D37" s="19">
        <v>1</v>
      </c>
      <c r="E37" s="52"/>
      <c r="F37" s="52"/>
      <c r="G37" s="52"/>
      <c r="H37" s="52"/>
      <c r="I37" s="52"/>
      <c r="J37" s="52"/>
      <c r="K37" s="52"/>
      <c r="L37" s="52"/>
      <c r="M37" s="52"/>
      <c r="N37" s="52"/>
      <c r="O37" s="28"/>
      <c r="P37" s="114"/>
      <c r="Q37" s="52"/>
      <c r="R37" s="52"/>
      <c r="S37" s="52"/>
      <c r="T37" s="52"/>
      <c r="U37" s="52"/>
      <c r="V37" s="52"/>
      <c r="W37" s="52"/>
      <c r="X37" s="52"/>
      <c r="Y37" s="52"/>
      <c r="Z37" s="1"/>
      <c r="AA37" s="1"/>
      <c r="AB37" s="1"/>
      <c r="AC37" s="1"/>
      <c r="AD37" s="1"/>
      <c r="AE37" s="1"/>
      <c r="AF37" s="1"/>
      <c r="AG37" s="1"/>
      <c r="AH37" s="1" t="s">
        <v>46</v>
      </c>
      <c r="AI37" s="1"/>
      <c r="AJ37" s="1"/>
      <c r="AK37" s="25">
        <v>1</v>
      </c>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87" t="s">
        <v>68</v>
      </c>
      <c r="BP37" s="7">
        <v>22027.777777777777</v>
      </c>
      <c r="BQ37" s="1"/>
      <c r="BR37" s="5" t="s">
        <v>186</v>
      </c>
      <c r="BS37" s="1"/>
      <c r="BT37" s="1"/>
      <c r="BU37" s="1" t="s">
        <v>205</v>
      </c>
      <c r="BV37" s="112">
        <v>0.36299999999999999</v>
      </c>
      <c r="BW37" s="1"/>
      <c r="BX37" s="1"/>
      <c r="BY37" s="1"/>
      <c r="BZ37" s="1"/>
      <c r="CA37" s="1"/>
      <c r="CB37" s="1"/>
      <c r="CC37" s="1"/>
      <c r="CD37" s="1"/>
      <c r="CE37" s="1"/>
      <c r="CF37" s="1"/>
      <c r="CG37" s="1"/>
      <c r="CH37" s="1"/>
      <c r="CI37" s="1"/>
      <c r="CJ37" s="7">
        <v>10</v>
      </c>
      <c r="CK37" s="7">
        <v>29</v>
      </c>
      <c r="CL37" s="7"/>
      <c r="CM37" s="4">
        <v>10000</v>
      </c>
      <c r="CN37" s="4">
        <v>9000</v>
      </c>
      <c r="CO37" s="23">
        <v>0.95</v>
      </c>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row>
    <row r="38" spans="1:123" x14ac:dyDescent="0.45">
      <c r="A38" s="52" t="s">
        <v>47</v>
      </c>
      <c r="B38" s="52"/>
      <c r="C38" s="52"/>
      <c r="D38" s="19">
        <v>30</v>
      </c>
      <c r="E38" s="52"/>
      <c r="F38" s="52"/>
      <c r="G38" s="52"/>
      <c r="H38" s="52"/>
      <c r="I38"/>
      <c r="J38" s="52"/>
      <c r="K38" s="52"/>
      <c r="L38" s="52"/>
      <c r="M38" s="52"/>
      <c r="N38" s="52"/>
      <c r="O38"/>
      <c r="P38" s="52"/>
      <c r="Q38" s="52"/>
      <c r="R38" s="52"/>
      <c r="S38" s="52"/>
      <c r="T38" s="52"/>
      <c r="U38" s="52"/>
      <c r="V38" s="52"/>
      <c r="W38" s="52"/>
      <c r="X38" s="52"/>
      <c r="Y38" s="52"/>
      <c r="Z38" s="1"/>
      <c r="AA38" s="1"/>
      <c r="AB38" s="1"/>
      <c r="AC38" s="1"/>
      <c r="AD38" s="1"/>
      <c r="AE38" s="1"/>
      <c r="AF38" s="1"/>
      <c r="AG38" s="1"/>
      <c r="AH38" s="1" t="s">
        <v>47</v>
      </c>
      <c r="AI38" s="1"/>
      <c r="AJ38" s="1"/>
      <c r="AK38" s="25">
        <v>30</v>
      </c>
      <c r="AL38" s="1"/>
      <c r="AM38" s="1"/>
      <c r="AN38" s="1"/>
      <c r="AO38" s="1"/>
      <c r="AP38" s="1"/>
      <c r="AQ38" s="1"/>
      <c r="AR38" s="1"/>
      <c r="AS38" s="1"/>
      <c r="AT38" s="1"/>
      <c r="AU38" s="1"/>
      <c r="AV38" s="1"/>
      <c r="AW38" s="1"/>
      <c r="AX38" s="1"/>
      <c r="AY38" s="1"/>
      <c r="AZ38" s="1"/>
      <c r="BA38" s="1"/>
      <c r="BB38" s="1"/>
      <c r="BC38" s="3" t="s">
        <v>16</v>
      </c>
      <c r="BD38" s="1" t="s">
        <v>117</v>
      </c>
      <c r="BE38" s="1" t="s">
        <v>52</v>
      </c>
      <c r="BF38" s="1" t="s">
        <v>17</v>
      </c>
      <c r="BG38" s="1" t="s">
        <v>18</v>
      </c>
      <c r="BH38" s="1" t="s">
        <v>19</v>
      </c>
      <c r="BI38" s="1" t="s">
        <v>24</v>
      </c>
      <c r="BJ38" s="1" t="s">
        <v>14</v>
      </c>
      <c r="BK38" s="1" t="s">
        <v>58</v>
      </c>
      <c r="BL38" s="1" t="s">
        <v>59</v>
      </c>
      <c r="BM38" s="1"/>
      <c r="BN38" s="1"/>
      <c r="BO38" s="87" t="s">
        <v>88</v>
      </c>
      <c r="BP38" s="7">
        <v>28622.222222222223</v>
      </c>
      <c r="BQ38" s="1"/>
      <c r="BR38" s="1" t="s">
        <v>188</v>
      </c>
      <c r="BS38" s="10">
        <v>0.45</v>
      </c>
      <c r="BT38" s="1"/>
      <c r="BU38" s="1"/>
      <c r="BV38" s="88"/>
      <c r="BW38" s="1"/>
      <c r="BX38" s="1"/>
      <c r="BY38" s="1"/>
      <c r="BZ38" s="1"/>
      <c r="CA38" s="1"/>
      <c r="CB38" s="1"/>
      <c r="CC38" s="1"/>
      <c r="CD38" s="1"/>
      <c r="CE38" s="1"/>
      <c r="CF38" s="1"/>
      <c r="CG38" s="1"/>
      <c r="CH38" s="1"/>
      <c r="CI38" s="1"/>
      <c r="CJ38" s="7">
        <v>10.5</v>
      </c>
      <c r="CK38" s="7">
        <v>29.5</v>
      </c>
      <c r="CL38" s="7"/>
      <c r="CM38" s="4">
        <v>10500</v>
      </c>
      <c r="CN38" s="4">
        <v>9500</v>
      </c>
      <c r="CO38" s="23">
        <v>1</v>
      </c>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row>
    <row r="39" spans="1:123" x14ac:dyDescent="0.45">
      <c r="A39" s="52" t="s">
        <v>180</v>
      </c>
      <c r="B39" s="52"/>
      <c r="C39" s="52"/>
      <c r="D39" s="20">
        <v>40</v>
      </c>
      <c r="E39" s="52"/>
      <c r="F39" s="52"/>
      <c r="G39" s="52"/>
      <c r="H39" s="52"/>
      <c r="I39" s="52"/>
      <c r="J39" s="52"/>
      <c r="K39" s="52"/>
      <c r="L39" s="52"/>
      <c r="M39" s="52"/>
      <c r="N39" s="52"/>
      <c r="O39" s="52"/>
      <c r="P39" s="52"/>
      <c r="Q39" s="52"/>
      <c r="R39" s="52"/>
      <c r="S39" s="52"/>
      <c r="T39" s="52"/>
      <c r="U39" s="52"/>
      <c r="V39" s="52"/>
      <c r="W39" s="52"/>
      <c r="X39" s="52"/>
      <c r="Y39" s="52"/>
      <c r="Z39" s="1"/>
      <c r="AA39" s="1"/>
      <c r="AB39" s="1"/>
      <c r="AC39" s="1"/>
      <c r="AD39" s="1"/>
      <c r="AE39" s="1"/>
      <c r="AF39" s="1"/>
      <c r="AG39" s="1"/>
      <c r="AH39" s="1" t="s">
        <v>180</v>
      </c>
      <c r="AI39" s="1"/>
      <c r="AJ39" s="1"/>
      <c r="AK39" s="25">
        <v>40</v>
      </c>
      <c r="AL39" s="1"/>
      <c r="AM39" s="1"/>
      <c r="AN39" s="1"/>
      <c r="AO39" s="1"/>
      <c r="AP39" s="1"/>
      <c r="AQ39" s="1"/>
      <c r="AR39" s="1"/>
      <c r="AS39" s="1"/>
      <c r="AT39" s="1"/>
      <c r="AU39" s="1"/>
      <c r="AV39" s="1"/>
      <c r="AW39" s="1"/>
      <c r="AX39" s="1"/>
      <c r="AY39" s="1"/>
      <c r="AZ39" s="1"/>
      <c r="BA39" s="1"/>
      <c r="BB39" s="1"/>
      <c r="BC39" s="1" t="s">
        <v>20</v>
      </c>
      <c r="BD39" s="1">
        <f>D37</f>
        <v>1</v>
      </c>
      <c r="BE39" s="1">
        <v>10</v>
      </c>
      <c r="BF39" s="1">
        <f>60/BE39</f>
        <v>6</v>
      </c>
      <c r="BG39" s="7">
        <f>BF39*BD39</f>
        <v>6</v>
      </c>
      <c r="BH39" s="1">
        <f>$D$21</f>
        <v>5.4</v>
      </c>
      <c r="BI39" s="11">
        <f>BD39/BH39</f>
        <v>0.18518518518518517</v>
      </c>
      <c r="BJ39" s="11">
        <f>$BI$49*BD39</f>
        <v>6.8018277680140599E-2</v>
      </c>
      <c r="BK39" s="11">
        <f>$BI$50*BD39</f>
        <v>0.17768210896309314</v>
      </c>
      <c r="BL39" s="11">
        <f>$BI$51*BD39</f>
        <v>2.1000000000000001E-2</v>
      </c>
      <c r="BM39" s="1"/>
      <c r="BN39" s="1"/>
      <c r="BO39" s="87" t="s">
        <v>69</v>
      </c>
      <c r="BP39" s="7">
        <v>17000</v>
      </c>
      <c r="BQ39" s="1"/>
      <c r="BR39" s="1" t="s">
        <v>187</v>
      </c>
      <c r="BS39" s="10">
        <f>1-(2*IF(BS38&gt;1,BS38/100,BS38))</f>
        <v>9.9999999999999978E-2</v>
      </c>
      <c r="BT39" s="1"/>
      <c r="BU39" s="1"/>
      <c r="BV39" s="88"/>
      <c r="BW39" s="1"/>
      <c r="BX39" s="1"/>
      <c r="BY39" s="1"/>
      <c r="BZ39" s="1"/>
      <c r="CA39" s="1"/>
      <c r="CB39" s="1"/>
      <c r="CC39" s="1"/>
      <c r="CD39" s="1"/>
      <c r="CE39" s="1"/>
      <c r="CF39" s="1"/>
      <c r="CG39" s="1"/>
      <c r="CH39" s="1"/>
      <c r="CI39" s="1"/>
      <c r="CJ39" s="7">
        <v>11</v>
      </c>
      <c r="CK39" s="7">
        <v>30</v>
      </c>
      <c r="CL39" s="7"/>
      <c r="CM39" s="4">
        <v>11000</v>
      </c>
      <c r="CN39" s="4">
        <v>10000</v>
      </c>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row>
    <row r="40" spans="1:123" x14ac:dyDescent="0.45">
      <c r="A40" s="52"/>
      <c r="B40" s="52"/>
      <c r="C40" s="52"/>
      <c r="D40" s="25"/>
      <c r="E40" s="52"/>
      <c r="F40" s="52"/>
      <c r="G40" s="52"/>
      <c r="H40" s="52"/>
      <c r="I40" s="52"/>
      <c r="J40" s="52"/>
      <c r="K40" s="52"/>
      <c r="L40" s="52"/>
      <c r="M40" s="52"/>
      <c r="N40" s="52"/>
      <c r="O40" s="52"/>
      <c r="P40" s="52"/>
      <c r="Q40" s="52"/>
      <c r="R40" s="52"/>
      <c r="S40" s="52"/>
      <c r="T40" s="52"/>
      <c r="U40" s="52"/>
      <c r="V40" s="52"/>
      <c r="W40" s="52"/>
      <c r="X40" s="52"/>
      <c r="Y40" s="52"/>
      <c r="Z40" s="1"/>
      <c r="AA40" s="1"/>
      <c r="AB40" s="1"/>
      <c r="AC40" s="1"/>
      <c r="AD40" s="1"/>
      <c r="AE40" s="1"/>
      <c r="AF40" s="1"/>
      <c r="AG40" s="1"/>
      <c r="AH40" s="1"/>
      <c r="AI40" s="1"/>
      <c r="AJ40" s="1"/>
      <c r="AK40" s="25"/>
      <c r="AL40" s="1"/>
      <c r="AM40" s="1"/>
      <c r="AN40" s="1"/>
      <c r="AO40" s="1"/>
      <c r="AP40" s="1"/>
      <c r="AQ40" s="1"/>
      <c r="AR40" s="1"/>
      <c r="AS40" s="1"/>
      <c r="AT40" s="1"/>
      <c r="AU40" s="1"/>
      <c r="AV40" s="1"/>
      <c r="AW40" s="1"/>
      <c r="AX40" s="1"/>
      <c r="AY40" s="1"/>
      <c r="AZ40" s="1"/>
      <c r="BA40" s="1"/>
      <c r="BB40" s="1"/>
      <c r="BC40" s="1" t="s">
        <v>21</v>
      </c>
      <c r="BD40" s="1">
        <f>D38</f>
        <v>30</v>
      </c>
      <c r="BE40" s="1">
        <v>55</v>
      </c>
      <c r="BF40" s="11">
        <f t="shared" ref="BF40:BF42" si="16">60/BE40</f>
        <v>1.0909090909090908</v>
      </c>
      <c r="BG40" s="7">
        <f t="shared" ref="BG40:BG42" si="17">BF40*BD40</f>
        <v>32.727272727272727</v>
      </c>
      <c r="BH40" s="1">
        <f>$D$21</f>
        <v>5.4</v>
      </c>
      <c r="BI40" s="11">
        <f t="shared" ref="BI40:BI42" si="18">BD40/BH40</f>
        <v>5.5555555555555554</v>
      </c>
      <c r="BJ40" s="11">
        <f>$BI$49*BD40</f>
        <v>2.040548330404218</v>
      </c>
      <c r="BK40" s="11">
        <f>$BI$50*BD40</f>
        <v>5.3304632688927942</v>
      </c>
      <c r="BL40" s="11">
        <f>$BI$51*BD40</f>
        <v>0.63</v>
      </c>
      <c r="BM40" s="1"/>
      <c r="BN40" s="1"/>
      <c r="BO40" s="87" t="s">
        <v>87</v>
      </c>
      <c r="BP40" s="7">
        <v>67266.666666666672</v>
      </c>
      <c r="BQ40" s="1"/>
      <c r="BR40" s="1"/>
      <c r="BS40" s="1"/>
      <c r="BT40" s="1"/>
      <c r="BU40" s="1"/>
      <c r="BV40" s="88"/>
      <c r="BW40" s="1"/>
      <c r="BX40" s="1"/>
      <c r="BY40" s="1"/>
      <c r="BZ40" s="1"/>
      <c r="CA40" s="1"/>
      <c r="CB40" s="1"/>
      <c r="CC40" s="1"/>
      <c r="CD40" s="1"/>
      <c r="CE40" s="1"/>
      <c r="CF40" s="1"/>
      <c r="CG40" s="1"/>
      <c r="CH40" s="1"/>
      <c r="CI40" s="1"/>
      <c r="CJ40" s="7">
        <v>11.5</v>
      </c>
      <c r="CK40" s="7">
        <v>30.5</v>
      </c>
      <c r="CL40" s="7"/>
      <c r="CM40" s="4">
        <v>11500</v>
      </c>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row>
    <row r="41" spans="1:123" x14ac:dyDescent="0.45">
      <c r="A41" s="62" t="s">
        <v>27</v>
      </c>
      <c r="B41" s="52"/>
      <c r="C41" s="52"/>
      <c r="D41" s="48" t="s">
        <v>95</v>
      </c>
      <c r="E41" s="52"/>
      <c r="F41" s="52"/>
      <c r="G41" s="52"/>
      <c r="H41" s="52"/>
      <c r="I41" s="52"/>
      <c r="J41" s="52"/>
      <c r="K41" s="52"/>
      <c r="L41" s="52"/>
      <c r="M41" s="52"/>
      <c r="N41" s="52"/>
      <c r="O41" s="52"/>
      <c r="P41" s="52"/>
      <c r="Q41" s="52"/>
      <c r="R41" s="52"/>
      <c r="S41" s="52"/>
      <c r="T41" s="52"/>
      <c r="U41" s="52"/>
      <c r="V41" s="52"/>
      <c r="W41" s="52"/>
      <c r="X41" s="52"/>
      <c r="Y41" s="52"/>
      <c r="Z41" s="1"/>
      <c r="AA41" s="1"/>
      <c r="AB41" s="1"/>
      <c r="AC41" s="1"/>
      <c r="AD41" s="1"/>
      <c r="AE41" s="1"/>
      <c r="AF41" s="1"/>
      <c r="AG41" s="1"/>
      <c r="AH41" s="1" t="s">
        <v>27</v>
      </c>
      <c r="AI41" s="1"/>
      <c r="AJ41" s="1"/>
      <c r="AK41" s="25" t="s">
        <v>95</v>
      </c>
      <c r="AL41" s="1"/>
      <c r="AM41" s="1"/>
      <c r="AN41" s="1"/>
      <c r="AO41" s="1"/>
      <c r="AP41" s="1"/>
      <c r="AQ41" s="1"/>
      <c r="AR41" s="1"/>
      <c r="AS41" s="1"/>
      <c r="AT41" s="1"/>
      <c r="AU41" s="1"/>
      <c r="AV41" s="1"/>
      <c r="AW41" s="1"/>
      <c r="AX41" s="1"/>
      <c r="AY41" s="1"/>
      <c r="AZ41" s="1"/>
      <c r="BA41" s="1"/>
      <c r="BB41" s="1"/>
      <c r="BC41" s="1" t="s">
        <v>22</v>
      </c>
      <c r="BD41" s="1">
        <f>D38+BD46</f>
        <v>36.199999999999996</v>
      </c>
      <c r="BE41" s="1">
        <v>55</v>
      </c>
      <c r="BF41" s="11">
        <f t="shared" si="16"/>
        <v>1.0909090909090908</v>
      </c>
      <c r="BG41" s="7">
        <f t="shared" si="17"/>
        <v>39.490909090909085</v>
      </c>
      <c r="BH41" s="1">
        <f>$D$21</f>
        <v>5.4</v>
      </c>
      <c r="BI41" s="11">
        <f t="shared" si="18"/>
        <v>6.7037037037037024</v>
      </c>
      <c r="BJ41" s="11">
        <f>$BI$49*BD41</f>
        <v>2.4622616520210894</v>
      </c>
      <c r="BK41" s="11">
        <f>$BI$50*BD41</f>
        <v>6.432092344463971</v>
      </c>
      <c r="BL41" s="11">
        <f>$BI$51*BD41</f>
        <v>0.76019999999999999</v>
      </c>
      <c r="BM41" s="1"/>
      <c r="BN41" s="1"/>
      <c r="BO41" s="91" t="s">
        <v>112</v>
      </c>
      <c r="BP41" s="7">
        <v>36475.69</v>
      </c>
      <c r="BQ41" s="1"/>
      <c r="BR41" s="1"/>
      <c r="BS41" s="1"/>
      <c r="BT41" s="1"/>
      <c r="BU41" s="1"/>
      <c r="BV41" s="88"/>
      <c r="BW41" s="1"/>
      <c r="BX41" s="1"/>
      <c r="BY41" s="1"/>
      <c r="BZ41" s="1"/>
      <c r="CA41" s="1"/>
      <c r="CB41" s="1"/>
      <c r="CC41" s="1"/>
      <c r="CD41" s="1"/>
      <c r="CE41" s="1"/>
      <c r="CF41" s="1"/>
      <c r="CG41" s="1"/>
      <c r="CH41" s="1"/>
      <c r="CI41" s="1"/>
      <c r="CJ41" s="7">
        <v>12</v>
      </c>
      <c r="CK41" s="7">
        <v>31</v>
      </c>
      <c r="CL41" s="7"/>
      <c r="CM41" s="4">
        <v>12000</v>
      </c>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row>
    <row r="42" spans="1:123" x14ac:dyDescent="0.45">
      <c r="A42" s="52" t="s">
        <v>177</v>
      </c>
      <c r="B42" s="52"/>
      <c r="C42" s="52"/>
      <c r="D42" s="19">
        <v>30</v>
      </c>
      <c r="E42" s="52"/>
      <c r="F42" s="52"/>
      <c r="G42" s="52"/>
      <c r="H42" s="52"/>
      <c r="I42" s="52"/>
      <c r="J42" s="52"/>
      <c r="K42" s="52"/>
      <c r="L42" s="52"/>
      <c r="M42" s="52"/>
      <c r="N42" s="52"/>
      <c r="O42" s="52"/>
      <c r="P42" s="52"/>
      <c r="Q42" s="52"/>
      <c r="R42" s="52"/>
      <c r="S42" s="52"/>
      <c r="T42" s="52"/>
      <c r="U42" s="52"/>
      <c r="V42" s="52"/>
      <c r="W42" s="52"/>
      <c r="X42" s="52"/>
      <c r="Y42" s="52"/>
      <c r="Z42" s="1"/>
      <c r="AA42" s="1"/>
      <c r="AB42" s="1"/>
      <c r="AC42" s="1"/>
      <c r="AD42" s="1"/>
      <c r="AE42" s="1"/>
      <c r="AF42" s="1"/>
      <c r="AG42" s="1"/>
      <c r="AH42" s="1" t="s">
        <v>150</v>
      </c>
      <c r="AI42" s="1"/>
      <c r="AJ42" s="1"/>
      <c r="AK42" s="25">
        <v>30</v>
      </c>
      <c r="AL42" s="1"/>
      <c r="AM42" s="1"/>
      <c r="AN42" s="1"/>
      <c r="AO42" s="1"/>
      <c r="AP42" s="1"/>
      <c r="AQ42" s="1"/>
      <c r="AR42" s="1"/>
      <c r="AS42" s="1"/>
      <c r="AT42" s="1"/>
      <c r="AU42" s="1"/>
      <c r="AV42" s="1"/>
      <c r="AW42" s="1"/>
      <c r="AX42" s="1"/>
      <c r="AY42" s="1"/>
      <c r="AZ42" s="1"/>
      <c r="BA42" s="1"/>
      <c r="BB42" s="1"/>
      <c r="BC42" s="1" t="s">
        <v>23</v>
      </c>
      <c r="BD42" s="1">
        <f>D37</f>
        <v>1</v>
      </c>
      <c r="BE42" s="1">
        <v>10</v>
      </c>
      <c r="BF42" s="1">
        <f t="shared" si="16"/>
        <v>6</v>
      </c>
      <c r="BG42" s="7">
        <f t="shared" si="17"/>
        <v>6</v>
      </c>
      <c r="BH42" s="1">
        <f>$D$21</f>
        <v>5.4</v>
      </c>
      <c r="BI42" s="11">
        <f t="shared" si="18"/>
        <v>0.18518518518518517</v>
      </c>
      <c r="BJ42" s="11">
        <f>$BI$49*BD42</f>
        <v>6.8018277680140599E-2</v>
      </c>
      <c r="BK42" s="11">
        <f>$BI$50*BD42</f>
        <v>0.17768210896309314</v>
      </c>
      <c r="BL42" s="11">
        <f>$BI$51*BD42</f>
        <v>2.1000000000000001E-2</v>
      </c>
      <c r="BM42" s="1"/>
      <c r="BN42" s="1"/>
      <c r="BO42" s="95" t="s">
        <v>131</v>
      </c>
      <c r="BP42" s="36">
        <v>25</v>
      </c>
      <c r="BQ42" s="36"/>
      <c r="BR42" s="36"/>
      <c r="BS42" s="36"/>
      <c r="BT42" s="36"/>
      <c r="BU42" s="36"/>
      <c r="BV42" s="96"/>
      <c r="BW42" s="1"/>
      <c r="BX42" s="1"/>
      <c r="BY42" s="1"/>
      <c r="BZ42" s="1"/>
      <c r="CA42" s="1"/>
      <c r="CB42" s="1"/>
      <c r="CC42" s="1"/>
      <c r="CD42" s="1"/>
      <c r="CE42" s="1"/>
      <c r="CF42" s="1"/>
      <c r="CG42" s="1"/>
      <c r="CH42" s="1"/>
      <c r="CI42" s="1"/>
      <c r="CJ42" s="7">
        <v>12.5</v>
      </c>
      <c r="CK42" s="7">
        <v>31.5</v>
      </c>
      <c r="CL42" s="7"/>
      <c r="CM42" s="4">
        <v>12500</v>
      </c>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row>
    <row r="43" spans="1:123" x14ac:dyDescent="0.45">
      <c r="A43" s="52" t="s">
        <v>176</v>
      </c>
      <c r="B43" s="52"/>
      <c r="C43" s="52"/>
      <c r="D43" s="20">
        <v>60</v>
      </c>
      <c r="E43" s="52"/>
      <c r="F43" s="52"/>
      <c r="G43" s="52"/>
      <c r="H43" s="52"/>
      <c r="I43" s="52"/>
      <c r="J43" s="52"/>
      <c r="K43" s="52"/>
      <c r="L43" s="52"/>
      <c r="M43" s="52"/>
      <c r="N43" s="52"/>
      <c r="O43" s="52"/>
      <c r="P43" s="52"/>
      <c r="Q43" s="52"/>
      <c r="R43" s="52"/>
      <c r="S43" s="52"/>
      <c r="T43" s="52"/>
      <c r="U43" s="52"/>
      <c r="V43" s="52"/>
      <c r="W43" s="52"/>
      <c r="X43" s="52"/>
      <c r="Y43" s="52"/>
      <c r="Z43" s="1"/>
      <c r="AA43" s="1"/>
      <c r="AB43" s="1"/>
      <c r="AC43" s="1"/>
      <c r="AD43" s="1"/>
      <c r="AE43" s="1"/>
      <c r="AF43" s="1"/>
      <c r="AG43" s="1"/>
      <c r="AH43" s="1" t="s">
        <v>151</v>
      </c>
      <c r="AI43" s="1"/>
      <c r="AJ43" s="1"/>
      <c r="AK43" s="25">
        <v>60</v>
      </c>
      <c r="AL43" s="1"/>
      <c r="AM43" s="1"/>
      <c r="AN43" s="1"/>
      <c r="AO43" s="1"/>
      <c r="AP43" s="1"/>
      <c r="AQ43" s="1"/>
      <c r="AR43" s="1"/>
      <c r="AS43" s="1"/>
      <c r="AT43" s="1"/>
      <c r="AU43" s="1"/>
      <c r="AV43" s="1"/>
      <c r="AW43" s="1"/>
      <c r="AX43" s="1"/>
      <c r="AY43" s="1"/>
      <c r="AZ43" s="1"/>
      <c r="BA43" s="1"/>
      <c r="BB43" s="1"/>
      <c r="BC43" s="1" t="s">
        <v>9</v>
      </c>
      <c r="BD43" s="1">
        <f>SUM(BD39:BD42)</f>
        <v>68.199999999999989</v>
      </c>
      <c r="BE43" s="1"/>
      <c r="BF43" s="1"/>
      <c r="BG43" s="14">
        <f>SUM(BG39:BG42)</f>
        <v>84.218181818181819</v>
      </c>
      <c r="BH43" s="25"/>
      <c r="BI43" s="14">
        <f>SUM(BI39:BI42)</f>
        <v>12.629629629629628</v>
      </c>
      <c r="BJ43" s="14">
        <f t="shared" ref="BJ43:BL43" si="19">SUM(BJ39:BJ42)</f>
        <v>4.6388465377855885</v>
      </c>
      <c r="BK43" s="14">
        <f>SUM(BK39:BK42)</f>
        <v>12.117919831282952</v>
      </c>
      <c r="BL43" s="14">
        <f t="shared" si="19"/>
        <v>1.4321999999999999</v>
      </c>
      <c r="BM43" s="1"/>
      <c r="BN43" s="1"/>
      <c r="BO43" s="1"/>
      <c r="BP43" s="1"/>
      <c r="BQ43" s="1"/>
      <c r="BR43" s="1"/>
      <c r="BS43" s="1"/>
      <c r="BT43" s="1"/>
      <c r="BU43" s="1"/>
      <c r="BV43" s="1"/>
      <c r="BW43" s="1"/>
      <c r="BX43" s="1"/>
      <c r="BY43" s="1"/>
      <c r="BZ43" s="1"/>
      <c r="CA43" s="1"/>
      <c r="CB43" s="1"/>
      <c r="CC43" s="1"/>
      <c r="CD43" s="1"/>
      <c r="CE43" s="1"/>
      <c r="CF43" s="1"/>
      <c r="CG43" s="1"/>
      <c r="CH43" s="1"/>
      <c r="CI43" s="1"/>
      <c r="CJ43" s="7">
        <v>13</v>
      </c>
      <c r="CK43" s="7">
        <v>32</v>
      </c>
      <c r="CL43" s="7"/>
      <c r="CM43" s="4">
        <v>13000</v>
      </c>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row>
    <row r="44" spans="1:123" x14ac:dyDescent="0.45">
      <c r="A44" s="52" t="s">
        <v>182</v>
      </c>
      <c r="B44" s="52"/>
      <c r="C44" s="52"/>
      <c r="D44" s="51">
        <v>0.45</v>
      </c>
      <c r="E44" s="52"/>
      <c r="F44" s="52"/>
      <c r="G44" s="52"/>
      <c r="H44" s="52"/>
      <c r="I44" s="52"/>
      <c r="J44" s="52"/>
      <c r="K44" s="52"/>
      <c r="L44" s="52"/>
      <c r="M44" s="52"/>
      <c r="N44" s="52"/>
      <c r="O44" s="52"/>
      <c r="P44" s="52"/>
      <c r="Q44" s="52"/>
      <c r="R44" s="52"/>
      <c r="S44" s="52"/>
      <c r="T44" s="52"/>
      <c r="U44" s="52"/>
      <c r="V44" s="52"/>
      <c r="W44" s="52"/>
      <c r="X44" s="52"/>
      <c r="Y44" s="52"/>
      <c r="Z44" s="1"/>
      <c r="AA44" s="1"/>
      <c r="AB44" s="1"/>
      <c r="AC44" s="1"/>
      <c r="AD44" s="1"/>
      <c r="AE44" s="1"/>
      <c r="AF44" s="1"/>
      <c r="AG44" s="1"/>
      <c r="AH44" s="1" t="s">
        <v>182</v>
      </c>
      <c r="AI44" s="1"/>
      <c r="AJ44" s="1"/>
      <c r="AK44" s="25">
        <v>0.45</v>
      </c>
      <c r="AL44" s="1"/>
      <c r="AM44" s="1"/>
      <c r="AN44" s="1"/>
      <c r="AO44" s="1"/>
      <c r="AP44" s="1"/>
      <c r="AQ44" s="1"/>
      <c r="AR44" s="1"/>
      <c r="AS44" s="1"/>
      <c r="AT44" s="1"/>
      <c r="AU44" s="1"/>
      <c r="AV44" s="1"/>
      <c r="AW44" s="1"/>
      <c r="AX44" s="1"/>
      <c r="AY44" s="1"/>
      <c r="AZ44" s="1"/>
      <c r="BA44" s="1"/>
      <c r="BB44" s="1"/>
      <c r="BC44" s="1"/>
      <c r="BD44" s="1"/>
      <c r="BE44" s="1"/>
      <c r="BF44" s="1"/>
      <c r="BG44" s="14"/>
      <c r="BH44" s="25"/>
      <c r="BI44" s="14"/>
      <c r="BJ44" s="25"/>
      <c r="BK44" s="25"/>
      <c r="BL44" s="25"/>
      <c r="BM44" s="25"/>
      <c r="BN44" s="1"/>
      <c r="BO44" s="1"/>
      <c r="BP44" s="1"/>
      <c r="BQ44" s="1"/>
      <c r="BR44" s="1"/>
      <c r="BS44" s="1"/>
      <c r="BT44" s="1"/>
      <c r="BU44" s="1"/>
      <c r="BV44" s="1"/>
      <c r="BW44" s="1"/>
      <c r="BX44" s="1"/>
      <c r="BY44" s="1"/>
      <c r="BZ44" s="1"/>
      <c r="CA44" s="1"/>
      <c r="CB44" s="1"/>
      <c r="CC44" s="1"/>
      <c r="CD44" s="1"/>
      <c r="CE44" s="1"/>
      <c r="CF44" s="1"/>
      <c r="CG44" s="1"/>
      <c r="CH44" s="1"/>
      <c r="CI44" s="1"/>
      <c r="CJ44" s="7">
        <v>13.5</v>
      </c>
      <c r="CK44" s="7">
        <v>32.5</v>
      </c>
      <c r="CL44" s="7"/>
      <c r="CM44" s="4">
        <v>13500</v>
      </c>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row>
    <row r="45" spans="1:123" x14ac:dyDescent="0.45">
      <c r="A45" s="52"/>
      <c r="B45" s="52"/>
      <c r="C45" s="52"/>
      <c r="D45" s="1"/>
      <c r="E45" s="52"/>
      <c r="F45" s="52"/>
      <c r="G45" s="52"/>
      <c r="H45" s="52"/>
      <c r="I45" s="52"/>
      <c r="J45" s="52"/>
      <c r="K45" s="52"/>
      <c r="L45" s="52"/>
      <c r="M45" s="52"/>
      <c r="N45" s="52"/>
      <c r="O45" s="52"/>
      <c r="P45" s="52"/>
      <c r="Q45" s="52"/>
      <c r="R45" s="52"/>
      <c r="S45" s="52"/>
      <c r="T45" s="52"/>
      <c r="U45" s="52"/>
      <c r="V45" s="52"/>
      <c r="W45" s="52"/>
      <c r="X45" s="52"/>
      <c r="Y45" s="52"/>
      <c r="Z45" s="1"/>
      <c r="AA45" s="1"/>
      <c r="AB45" s="1"/>
      <c r="AC45" s="1"/>
      <c r="AD45" s="1"/>
      <c r="AE45" s="1"/>
      <c r="AF45" s="1"/>
      <c r="AG45" s="1"/>
      <c r="AH45" s="1"/>
      <c r="AI45" s="1"/>
      <c r="AJ45" s="1"/>
      <c r="AK45" s="25"/>
      <c r="AL45" s="1"/>
      <c r="AM45" s="1"/>
      <c r="AN45" s="1"/>
      <c r="AO45" s="1"/>
      <c r="AP45" s="1"/>
      <c r="AQ45" s="1"/>
      <c r="AR45" s="1"/>
      <c r="AS45" s="1"/>
      <c r="AT45" s="1"/>
      <c r="AU45" s="1"/>
      <c r="AV45" s="1"/>
      <c r="AW45" s="1"/>
      <c r="AX45" s="1"/>
      <c r="AY45" s="1"/>
      <c r="AZ45" s="1"/>
      <c r="BA45" s="1"/>
      <c r="BB45" s="1"/>
      <c r="BC45" s="1" t="s">
        <v>183</v>
      </c>
      <c r="BD45" s="10">
        <f>ABS(1-(2*IF(D44&gt;1,D44/100,D44)))</f>
        <v>9.9999999999999978E-2</v>
      </c>
      <c r="BE45" s="1"/>
      <c r="BF45" s="1"/>
      <c r="BG45" s="14"/>
      <c r="BH45" s="25"/>
      <c r="BI45" s="14"/>
      <c r="BJ45" s="25"/>
      <c r="BK45" s="25"/>
      <c r="BL45" s="25"/>
      <c r="BM45" s="25"/>
      <c r="BN45" s="1"/>
      <c r="BO45" s="1"/>
      <c r="BP45" s="1"/>
      <c r="BQ45" s="1"/>
      <c r="BR45" s="1"/>
      <c r="BS45" s="1"/>
      <c r="BT45" s="1"/>
      <c r="BU45" s="1"/>
      <c r="BV45" s="1"/>
      <c r="BW45" s="1"/>
      <c r="BX45" s="1"/>
      <c r="BY45" s="1"/>
      <c r="BZ45" s="1"/>
      <c r="CA45" s="1"/>
      <c r="CB45" s="1"/>
      <c r="CC45" s="1"/>
      <c r="CD45" s="1"/>
      <c r="CE45" s="1"/>
      <c r="CF45" s="1"/>
      <c r="CG45" s="1"/>
      <c r="CH45" s="1"/>
      <c r="CI45" s="1"/>
      <c r="CJ45" s="7">
        <v>14</v>
      </c>
      <c r="CK45" s="7">
        <v>33</v>
      </c>
      <c r="CL45" s="7"/>
      <c r="CM45" s="4">
        <v>14000</v>
      </c>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row>
    <row r="46" spans="1:123" x14ac:dyDescent="0.45">
      <c r="A46" s="52"/>
      <c r="B46" s="52"/>
      <c r="C46" s="52"/>
      <c r="D46" s="1"/>
      <c r="E46" s="52"/>
      <c r="F46" s="52"/>
      <c r="G46" s="52"/>
      <c r="H46" s="52"/>
      <c r="I46" s="52"/>
      <c r="J46" s="52"/>
      <c r="K46" s="52"/>
      <c r="L46" s="52"/>
      <c r="M46" s="52"/>
      <c r="N46" s="52"/>
      <c r="O46" s="52"/>
      <c r="P46" s="52"/>
      <c r="Q46" s="52"/>
      <c r="R46" s="52"/>
      <c r="S46" s="52"/>
      <c r="T46" s="52"/>
      <c r="U46" s="52"/>
      <c r="V46" s="52"/>
      <c r="W46" s="52"/>
      <c r="X46" s="52"/>
      <c r="Y46" s="52"/>
      <c r="Z46" s="1"/>
      <c r="AA46" s="1"/>
      <c r="AB46" s="1"/>
      <c r="AC46" s="1"/>
      <c r="AD46" s="1"/>
      <c r="AE46" s="1"/>
      <c r="AF46" s="1"/>
      <c r="AG46" s="1"/>
      <c r="AH46" s="1"/>
      <c r="AI46" s="1"/>
      <c r="AJ46" s="1"/>
      <c r="AK46" s="25"/>
      <c r="AL46" s="1"/>
      <c r="AM46" s="1"/>
      <c r="AN46" s="1"/>
      <c r="AO46" s="1"/>
      <c r="AP46" s="1"/>
      <c r="AQ46" s="1"/>
      <c r="AR46" s="1"/>
      <c r="AS46" s="1"/>
      <c r="AT46" s="1"/>
      <c r="AU46" s="1"/>
      <c r="AV46" s="1"/>
      <c r="AW46" s="1"/>
      <c r="AX46" s="1"/>
      <c r="AY46" s="1"/>
      <c r="AZ46" s="1"/>
      <c r="BA46" s="1"/>
      <c r="BB46" s="1"/>
      <c r="BC46" s="1" t="s">
        <v>185</v>
      </c>
      <c r="BD46" s="1">
        <f>BD45*(SUM(D37:D38)*2)</f>
        <v>6.1999999999999984</v>
      </c>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7"/>
      <c r="CK46" s="7">
        <v>33.5</v>
      </c>
      <c r="CL46" s="7"/>
      <c r="CM46" s="4">
        <v>14500</v>
      </c>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row>
    <row r="47" spans="1:123" x14ac:dyDescent="0.45">
      <c r="A47" s="52"/>
      <c r="B47" s="52"/>
      <c r="C47" s="52"/>
      <c r="D47" s="1"/>
      <c r="E47" s="52"/>
      <c r="F47" s="52"/>
      <c r="G47" s="52"/>
      <c r="H47" s="52"/>
      <c r="I47" s="52"/>
      <c r="J47" s="52"/>
      <c r="K47" s="52"/>
      <c r="L47" s="52"/>
      <c r="M47" s="52"/>
      <c r="N47" s="52"/>
      <c r="O47" s="52"/>
      <c r="P47" s="52"/>
      <c r="Q47" s="52"/>
      <c r="R47" s="52"/>
      <c r="S47" s="52"/>
      <c r="T47" s="52"/>
      <c r="U47" s="52"/>
      <c r="V47" s="52"/>
      <c r="W47" s="52"/>
      <c r="X47" s="52"/>
      <c r="Y47" s="52"/>
      <c r="Z47" s="1"/>
      <c r="AA47" s="1"/>
      <c r="AB47" s="1"/>
      <c r="AC47" s="1"/>
      <c r="AD47" s="1"/>
      <c r="AE47" s="1"/>
      <c r="AF47" s="1"/>
      <c r="AG47" s="1"/>
      <c r="AH47" s="1"/>
      <c r="AI47" s="1"/>
      <c r="AJ47" s="1"/>
      <c r="AK47" s="25"/>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7"/>
      <c r="CK47" s="7">
        <v>34</v>
      </c>
      <c r="CL47" s="7"/>
      <c r="CM47" s="4">
        <v>15000</v>
      </c>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row>
    <row r="48" spans="1:123" x14ac:dyDescent="0.45">
      <c r="A48" s="52"/>
      <c r="B48" s="52"/>
      <c r="C48" s="52"/>
      <c r="D48" s="1"/>
      <c r="E48" s="52"/>
      <c r="F48" s="52"/>
      <c r="G48" s="52"/>
      <c r="H48" s="52"/>
      <c r="I48" s="52"/>
      <c r="J48" s="52"/>
      <c r="K48" s="52"/>
      <c r="L48" s="52"/>
      <c r="M48" s="52"/>
      <c r="N48" s="52"/>
      <c r="O48" s="52"/>
      <c r="P48" s="52"/>
      <c r="Q48" s="52"/>
      <c r="R48" s="52"/>
      <c r="S48" s="52"/>
      <c r="T48" s="52"/>
      <c r="U48" s="52"/>
      <c r="V48" s="52"/>
      <c r="W48" s="52"/>
      <c r="X48" s="52"/>
      <c r="Y48" s="52"/>
      <c r="Z48" s="1"/>
      <c r="AA48" s="1"/>
      <c r="AB48" s="1"/>
      <c r="AC48" s="1"/>
      <c r="AD48" s="1"/>
      <c r="AE48" s="1"/>
      <c r="AF48" s="1"/>
      <c r="AG48" s="1"/>
      <c r="AH48" s="1"/>
      <c r="AI48" s="1"/>
      <c r="AJ48" s="1"/>
      <c r="AK48" s="25"/>
      <c r="AL48" s="1"/>
      <c r="AM48" s="1"/>
      <c r="AN48" s="1"/>
      <c r="AO48" s="1"/>
      <c r="AP48" s="1"/>
      <c r="AQ48" s="1"/>
      <c r="AR48" s="1"/>
      <c r="AS48" s="1"/>
      <c r="AT48" s="1"/>
      <c r="AU48" s="1"/>
      <c r="AV48" s="1"/>
      <c r="AW48" s="1"/>
      <c r="AX48" s="1"/>
      <c r="AY48" s="1"/>
      <c r="AZ48" s="1"/>
      <c r="BA48" s="1"/>
      <c r="BB48" s="1"/>
      <c r="BC48" s="3" t="s">
        <v>25</v>
      </c>
      <c r="BD48" s="1"/>
      <c r="BE48" s="1"/>
      <c r="BF48" s="1"/>
      <c r="BG48" s="1"/>
      <c r="BH48" s="3" t="s">
        <v>99</v>
      </c>
      <c r="BI48" s="1" t="s">
        <v>40</v>
      </c>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4">
        <v>15500</v>
      </c>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row>
    <row r="49" spans="1:123" x14ac:dyDescent="0.45">
      <c r="A49" s="52"/>
      <c r="B49" s="52"/>
      <c r="C49" s="52"/>
      <c r="D49" s="1"/>
      <c r="E49" s="52"/>
      <c r="F49" s="52"/>
      <c r="G49" s="52"/>
      <c r="H49" s="52"/>
      <c r="I49" s="52"/>
      <c r="J49" s="52"/>
      <c r="K49" s="52"/>
      <c r="L49" s="52"/>
      <c r="M49" s="52"/>
      <c r="N49" s="52"/>
      <c r="O49" s="52"/>
      <c r="P49" s="52"/>
      <c r="Q49" s="52"/>
      <c r="R49" s="52"/>
      <c r="S49" s="52"/>
      <c r="T49" s="52"/>
      <c r="U49" s="52"/>
      <c r="V49" s="52"/>
      <c r="W49" s="52"/>
      <c r="X49" s="52"/>
      <c r="Y49" s="52"/>
      <c r="Z49" s="1"/>
      <c r="AA49" s="1"/>
      <c r="AB49" s="1"/>
      <c r="AC49" s="1"/>
      <c r="AD49" s="1"/>
      <c r="AE49" s="1"/>
      <c r="AF49" s="1"/>
      <c r="AG49" s="1"/>
      <c r="AH49" s="1"/>
      <c r="AI49" s="1"/>
      <c r="AJ49" s="1"/>
      <c r="AK49" s="25"/>
      <c r="AL49" s="1"/>
      <c r="AM49" s="1"/>
      <c r="AN49" s="1"/>
      <c r="AO49" s="1"/>
      <c r="AP49" s="1"/>
      <c r="AQ49" s="1"/>
      <c r="AR49" s="1"/>
      <c r="AS49" s="1"/>
      <c r="AT49" s="1"/>
      <c r="AU49" s="1"/>
      <c r="AV49" s="1"/>
      <c r="AW49" s="1"/>
      <c r="AX49" s="1"/>
      <c r="AY49" s="1"/>
      <c r="AZ49" s="1"/>
      <c r="BA49" s="1"/>
      <c r="BB49" s="1"/>
      <c r="BC49" s="1" t="s">
        <v>26</v>
      </c>
      <c r="BD49" s="1"/>
      <c r="BE49" s="1"/>
      <c r="BF49" s="14">
        <f>BG43</f>
        <v>84.218181818181819</v>
      </c>
      <c r="BG49" s="1"/>
      <c r="BH49" s="1" t="s">
        <v>14</v>
      </c>
      <c r="BI49" s="113">
        <f>BV30</f>
        <v>6.8018277680140599E-2</v>
      </c>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4">
        <v>16000</v>
      </c>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row>
    <row r="50" spans="1:123" x14ac:dyDescent="0.45">
      <c r="A50" s="52"/>
      <c r="B50" s="52"/>
      <c r="C50" s="52"/>
      <c r="D50" s="1"/>
      <c r="E50" s="52"/>
      <c r="F50" s="52"/>
      <c r="G50" s="52"/>
      <c r="H50" s="52"/>
      <c r="I50" s="52"/>
      <c r="J50" s="52"/>
      <c r="K50" s="52"/>
      <c r="L50" s="52"/>
      <c r="M50" s="52"/>
      <c r="N50" s="52"/>
      <c r="O50" s="52"/>
      <c r="P50" s="52"/>
      <c r="Q50" s="52"/>
      <c r="R50" s="52"/>
      <c r="S50" s="52"/>
      <c r="T50" s="52"/>
      <c r="U50" s="52"/>
      <c r="V50" s="52"/>
      <c r="W50" s="52"/>
      <c r="X50" s="52"/>
      <c r="Y50" s="52"/>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t="s">
        <v>27</v>
      </c>
      <c r="BD50" s="1" t="s">
        <v>28</v>
      </c>
      <c r="BE50" s="1"/>
      <c r="BF50" s="25">
        <f>D42</f>
        <v>30</v>
      </c>
      <c r="BG50" s="1"/>
      <c r="BH50" s="1" t="s">
        <v>58</v>
      </c>
      <c r="BI50" s="113">
        <f>BV31</f>
        <v>0.17768210896309314</v>
      </c>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4">
        <v>16500</v>
      </c>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row>
    <row r="51" spans="1:123" x14ac:dyDescent="0.45">
      <c r="A51" s="52"/>
      <c r="B51" s="52"/>
      <c r="C51" s="52"/>
      <c r="D51" s="1"/>
      <c r="E51" s="52"/>
      <c r="F51" s="52"/>
      <c r="G51" s="52"/>
      <c r="H51" s="52"/>
      <c r="I51" s="52"/>
      <c r="J51" s="52"/>
      <c r="K51" s="52"/>
      <c r="L51" s="52"/>
      <c r="M51" s="52"/>
      <c r="N51" s="52"/>
      <c r="O51" s="52"/>
      <c r="P51" s="52"/>
      <c r="Q51" s="52"/>
      <c r="R51" s="52"/>
      <c r="S51" s="52"/>
      <c r="T51" s="52"/>
      <c r="U51" s="52"/>
      <c r="V51" s="52"/>
      <c r="W51" s="52"/>
      <c r="X51" s="52"/>
      <c r="Y51" s="52"/>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t="s">
        <v>29</v>
      </c>
      <c r="BE51" s="1"/>
      <c r="BF51" s="25">
        <f>D43</f>
        <v>60</v>
      </c>
      <c r="BG51" s="1"/>
      <c r="BH51" s="1" t="s">
        <v>59</v>
      </c>
      <c r="BI51" s="1">
        <v>2.1000000000000001E-2</v>
      </c>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4">
        <v>17000</v>
      </c>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row>
    <row r="52" spans="1:123" x14ac:dyDescent="0.45">
      <c r="A52" s="52"/>
      <c r="B52" s="52"/>
      <c r="C52" s="52"/>
      <c r="D52" s="1"/>
      <c r="E52" s="52"/>
      <c r="F52" s="52"/>
      <c r="G52" s="52"/>
      <c r="H52" s="52"/>
      <c r="I52" s="52"/>
      <c r="J52" s="52"/>
      <c r="K52" s="52"/>
      <c r="L52" s="52"/>
      <c r="M52" s="52"/>
      <c r="N52" s="52"/>
      <c r="O52" s="52"/>
      <c r="P52" s="52"/>
      <c r="Q52" s="52"/>
      <c r="R52" s="52"/>
      <c r="S52" s="52"/>
      <c r="T52" s="52"/>
      <c r="U52" s="52"/>
      <c r="V52" s="52"/>
      <c r="W52" s="52"/>
      <c r="X52" s="52"/>
      <c r="Y52" s="52"/>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t="s">
        <v>30</v>
      </c>
      <c r="BE52" s="1"/>
      <c r="BF52" s="25">
        <v>0</v>
      </c>
      <c r="BG52" s="1"/>
      <c r="BH52" s="1" t="s">
        <v>9</v>
      </c>
      <c r="BI52" s="11">
        <f>SUM(BI49:BI51)</f>
        <v>0.26670038664323376</v>
      </c>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4">
        <v>17500</v>
      </c>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row>
    <row r="53" spans="1:123" x14ac:dyDescent="0.45">
      <c r="A53" s="52"/>
      <c r="B53" s="52"/>
      <c r="C53" s="52"/>
      <c r="D53" s="1"/>
      <c r="E53" s="52"/>
      <c r="F53" s="52"/>
      <c r="G53" s="52"/>
      <c r="H53" s="52"/>
      <c r="I53" s="52"/>
      <c r="J53" s="52"/>
      <c r="K53" s="52"/>
      <c r="L53" s="52"/>
      <c r="M53" s="52"/>
      <c r="N53" s="52"/>
      <c r="O53" s="52"/>
      <c r="P53" s="52"/>
      <c r="Q53" s="52"/>
      <c r="R53" s="52"/>
      <c r="S53" s="52"/>
      <c r="T53" s="52"/>
      <c r="U53" s="52"/>
      <c r="V53" s="52"/>
      <c r="W53" s="52"/>
      <c r="X53" s="52"/>
      <c r="Y53" s="52"/>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t="s">
        <v>9</v>
      </c>
      <c r="BD53" s="1"/>
      <c r="BE53" s="1"/>
      <c r="BF53" s="15">
        <f>SUM(BF49:BF52)</f>
        <v>174.21818181818182</v>
      </c>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4">
        <v>18000</v>
      </c>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row>
    <row r="54" spans="1:123" x14ac:dyDescent="0.45">
      <c r="A54" s="52"/>
      <c r="B54" s="52"/>
      <c r="C54" s="52"/>
      <c r="D54" s="1"/>
      <c r="E54" s="52"/>
      <c r="F54" s="52"/>
      <c r="G54" s="52"/>
      <c r="H54" s="52"/>
      <c r="I54" s="52"/>
      <c r="J54" s="52"/>
      <c r="K54" s="52"/>
      <c r="L54" s="52"/>
      <c r="M54" s="52"/>
      <c r="N54" s="52"/>
      <c r="O54" s="52"/>
      <c r="P54" s="52"/>
      <c r="Q54" s="52"/>
      <c r="R54" s="52"/>
      <c r="S54" s="52"/>
      <c r="T54" s="52"/>
      <c r="U54" s="52"/>
      <c r="V54" s="52"/>
      <c r="W54" s="52"/>
      <c r="X54" s="52"/>
      <c r="Y54" s="52"/>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4">
        <v>18500</v>
      </c>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row>
    <row r="55" spans="1:123" x14ac:dyDescent="0.45">
      <c r="A55" s="52"/>
      <c r="B55" s="52"/>
      <c r="C55" s="52"/>
      <c r="D55" s="1"/>
      <c r="E55" s="52"/>
      <c r="F55" s="52"/>
      <c r="G55" s="52"/>
      <c r="H55" s="52"/>
      <c r="I55" s="52"/>
      <c r="J55" s="52"/>
      <c r="K55" s="52"/>
      <c r="L55" s="52"/>
      <c r="M55" s="52"/>
      <c r="N55" s="52"/>
      <c r="O55" s="52"/>
      <c r="P55" s="52"/>
      <c r="Q55" s="52"/>
      <c r="R55" s="52"/>
      <c r="S55" s="52"/>
      <c r="T55" s="52"/>
      <c r="U55" s="52"/>
      <c r="V55" s="52"/>
      <c r="W55" s="52"/>
      <c r="X55" s="52"/>
      <c r="Y55" s="52"/>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3" t="s">
        <v>31</v>
      </c>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4">
        <v>19000</v>
      </c>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row>
    <row r="56" spans="1:123" x14ac:dyDescent="0.45">
      <c r="A56" s="52"/>
      <c r="B56" s="52"/>
      <c r="C56" s="52"/>
      <c r="D56" s="1"/>
      <c r="E56" s="52"/>
      <c r="F56" s="52"/>
      <c r="G56" s="52"/>
      <c r="H56" s="52"/>
      <c r="I56" s="52"/>
      <c r="J56" s="52"/>
      <c r="K56" s="52"/>
      <c r="L56" s="52"/>
      <c r="M56" s="52"/>
      <c r="N56" s="52"/>
      <c r="O56" s="52"/>
      <c r="P56" s="52"/>
      <c r="Q56" s="52"/>
      <c r="R56" s="52"/>
      <c r="S56" s="52"/>
      <c r="T56" s="52"/>
      <c r="U56" s="52"/>
      <c r="V56" s="52"/>
      <c r="W56" s="52"/>
      <c r="X56" s="52"/>
      <c r="Y56" s="52"/>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t="s">
        <v>32</v>
      </c>
      <c r="BE56" s="11">
        <f>(D16*60)/BF53</f>
        <v>3.4439574201628051</v>
      </c>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4">
        <v>19500</v>
      </c>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row>
    <row r="57" spans="1:123" x14ac:dyDescent="0.45">
      <c r="A57" s="52"/>
      <c r="B57" s="52"/>
      <c r="C57" s="52"/>
      <c r="D57" s="1"/>
      <c r="E57" s="52"/>
      <c r="F57" s="52"/>
      <c r="G57" s="52"/>
      <c r="H57" s="52"/>
      <c r="I57" s="52"/>
      <c r="J57" s="52"/>
      <c r="K57" s="52"/>
      <c r="L57" s="52"/>
      <c r="M57" s="52"/>
      <c r="N57" s="52"/>
      <c r="O57" s="52"/>
      <c r="P57" s="52"/>
      <c r="Q57" s="52"/>
      <c r="R57" s="52"/>
      <c r="S57" s="52"/>
      <c r="T57" s="52"/>
      <c r="U57" s="52"/>
      <c r="V57" s="52"/>
      <c r="W57" s="52"/>
      <c r="X57" s="52"/>
      <c r="Y57" s="52"/>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t="s">
        <v>33</v>
      </c>
      <c r="BE57" s="11">
        <f>INT(BE56)</f>
        <v>3</v>
      </c>
      <c r="BF57" s="1"/>
      <c r="BG57" s="1" t="s">
        <v>51</v>
      </c>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4">
        <v>20000</v>
      </c>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row>
    <row r="58" spans="1:123" x14ac:dyDescent="0.45">
      <c r="A58" s="52"/>
      <c r="B58" s="52"/>
      <c r="C58" s="52"/>
      <c r="D58" s="1"/>
      <c r="E58" s="52"/>
      <c r="F58" s="52"/>
      <c r="G58" s="52"/>
      <c r="H58" s="52"/>
      <c r="I58" s="52"/>
      <c r="J58" s="52"/>
      <c r="K58" s="52"/>
      <c r="L58" s="52"/>
      <c r="M58" s="52"/>
      <c r="N58" s="52"/>
      <c r="O58" s="52"/>
      <c r="P58" s="52"/>
      <c r="Q58" s="52"/>
      <c r="R58" s="52"/>
      <c r="S58" s="52"/>
      <c r="T58" s="52"/>
      <c r="U58" s="52"/>
      <c r="V58" s="52"/>
      <c r="W58" s="52"/>
      <c r="X58" s="52"/>
      <c r="Y58" s="52"/>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1">
        <f>BE57+1</f>
        <v>4</v>
      </c>
      <c r="BF58" s="11">
        <f>BE58*BF53</f>
        <v>696.87272727272727</v>
      </c>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4">
        <v>20500</v>
      </c>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row>
    <row r="59" spans="1:123" x14ac:dyDescent="0.45">
      <c r="A59" s="52"/>
      <c r="B59" s="52"/>
      <c r="C59" s="52"/>
      <c r="D59" s="1"/>
      <c r="E59" s="52"/>
      <c r="F59" s="52"/>
      <c r="G59" s="52"/>
      <c r="H59" s="52"/>
      <c r="I59" s="52"/>
      <c r="J59" s="52"/>
      <c r="K59" s="52"/>
      <c r="L59" s="52"/>
      <c r="M59" s="52"/>
      <c r="N59" s="52"/>
      <c r="O59" s="52"/>
      <c r="P59" s="52"/>
      <c r="Q59" s="52"/>
      <c r="R59" s="52"/>
      <c r="S59" s="52"/>
      <c r="T59" s="52"/>
      <c r="U59" s="52"/>
      <c r="V59" s="52"/>
      <c r="W59" s="52"/>
      <c r="X59" s="52"/>
      <c r="Y59" s="52"/>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f>D16*60</f>
        <v>600</v>
      </c>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4">
        <v>21000</v>
      </c>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row>
    <row r="60" spans="1:123" x14ac:dyDescent="0.45">
      <c r="A60" s="52"/>
      <c r="B60" s="52"/>
      <c r="C60" s="52"/>
      <c r="D60" s="1"/>
      <c r="E60" s="52"/>
      <c r="F60" s="52"/>
      <c r="G60" s="52"/>
      <c r="H60" s="52"/>
      <c r="I60" s="52"/>
      <c r="J60" s="52"/>
      <c r="K60" s="52"/>
      <c r="L60" s="52"/>
      <c r="M60" s="52"/>
      <c r="N60" s="52"/>
      <c r="O60" s="52"/>
      <c r="P60" s="52"/>
      <c r="Q60" s="52"/>
      <c r="R60" s="52"/>
      <c r="S60" s="52"/>
      <c r="T60" s="52"/>
      <c r="U60" s="52"/>
      <c r="V60" s="52"/>
      <c r="W60" s="52"/>
      <c r="X60" s="52"/>
      <c r="Y60" s="52"/>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t="s">
        <v>35</v>
      </c>
      <c r="BD60" s="1"/>
      <c r="BE60" s="1">
        <f>IF(AND(BF58 &lt;= (D16*60 + 120), BF58 &lt;= (14*60)),BE58, BE57)</f>
        <v>4</v>
      </c>
      <c r="BF60" s="1"/>
      <c r="BG60" s="1" t="s">
        <v>203</v>
      </c>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4">
        <v>21500</v>
      </c>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row>
    <row r="61" spans="1:123" x14ac:dyDescent="0.45">
      <c r="A61" s="52"/>
      <c r="B61" s="52"/>
      <c r="C61" s="52"/>
      <c r="D61" s="1"/>
      <c r="E61" s="52"/>
      <c r="F61" s="52"/>
      <c r="G61" s="52"/>
      <c r="H61" s="52"/>
      <c r="I61" s="52"/>
      <c r="J61" s="52"/>
      <c r="K61" s="52"/>
      <c r="L61" s="52"/>
      <c r="M61" s="52"/>
      <c r="N61" s="52"/>
      <c r="O61" s="52"/>
      <c r="P61" s="52"/>
      <c r="Q61" s="52"/>
      <c r="R61" s="52"/>
      <c r="S61" s="52"/>
      <c r="T61" s="52"/>
      <c r="U61" s="52"/>
      <c r="V61" s="52"/>
      <c r="W61" s="52"/>
      <c r="X61" s="52"/>
      <c r="Y61" s="52"/>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t="s">
        <v>34</v>
      </c>
      <c r="BD61" s="1"/>
      <c r="BE61" s="16">
        <f>BE60*BF53</f>
        <v>696.87272727272727</v>
      </c>
      <c r="BF61" s="1"/>
      <c r="BG61" s="1" t="s">
        <v>95</v>
      </c>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4">
        <v>22000</v>
      </c>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row>
    <row r="62" spans="1:123" x14ac:dyDescent="0.45">
      <c r="A62" s="52"/>
      <c r="B62" s="52"/>
      <c r="C62" s="52"/>
      <c r="D62" s="1"/>
      <c r="E62" s="52"/>
      <c r="F62" s="52"/>
      <c r="G62" s="52"/>
      <c r="H62" s="52"/>
      <c r="I62" s="52"/>
      <c r="J62" s="52"/>
      <c r="K62" s="52"/>
      <c r="L62" s="52"/>
      <c r="M62" s="52"/>
      <c r="N62" s="52"/>
      <c r="O62" s="52"/>
      <c r="P62" s="52"/>
      <c r="Q62" s="52"/>
      <c r="R62" s="52"/>
      <c r="S62" s="52"/>
      <c r="T62" s="52"/>
      <c r="U62" s="52"/>
      <c r="V62" s="52"/>
      <c r="W62" s="52"/>
      <c r="X62" s="52"/>
      <c r="Y62" s="52"/>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t="s">
        <v>36</v>
      </c>
      <c r="BD62" s="1"/>
      <c r="BE62" s="1">
        <v>0</v>
      </c>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row>
    <row r="63" spans="1:123" x14ac:dyDescent="0.45">
      <c r="A63" s="52"/>
      <c r="B63" s="52"/>
      <c r="C63" s="52"/>
      <c r="D63" s="1"/>
      <c r="E63" s="52"/>
      <c r="F63" s="52"/>
      <c r="G63" s="52"/>
      <c r="H63" s="52"/>
      <c r="I63" s="52"/>
      <c r="J63" s="52"/>
      <c r="K63" s="52"/>
      <c r="L63" s="52"/>
      <c r="M63" s="52"/>
      <c r="N63" s="52"/>
      <c r="O63" s="52"/>
      <c r="P63" s="52"/>
      <c r="Q63" s="52"/>
      <c r="R63" s="52"/>
      <c r="S63" s="52"/>
      <c r="T63" s="52"/>
      <c r="U63" s="52"/>
      <c r="V63" s="52"/>
      <c r="W63" s="52"/>
      <c r="X63" s="52"/>
      <c r="Y63" s="52"/>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t="s">
        <v>37</v>
      </c>
      <c r="BD63" s="1"/>
      <c r="BE63" s="16">
        <f>SUM(BE61:BE62)</f>
        <v>696.87272727272727</v>
      </c>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row>
    <row r="64" spans="1:123" x14ac:dyDescent="0.45">
      <c r="A64" s="52"/>
      <c r="B64" s="52"/>
      <c r="C64" s="52"/>
      <c r="D64" s="1"/>
      <c r="E64" s="52"/>
      <c r="F64" s="52"/>
      <c r="G64" s="52"/>
      <c r="H64" s="52"/>
      <c r="I64" s="52"/>
      <c r="J64" s="52"/>
      <c r="K64" s="52"/>
      <c r="L64" s="52"/>
      <c r="M64" s="52"/>
      <c r="N64" s="52"/>
      <c r="O64" s="52"/>
      <c r="P64" s="52"/>
      <c r="Q64" s="52"/>
      <c r="R64" s="52"/>
      <c r="S64" s="52"/>
      <c r="T64" s="52"/>
      <c r="U64" s="52"/>
      <c r="V64" s="52"/>
      <c r="W64" s="52"/>
      <c r="X64" s="52"/>
      <c r="Y64" s="52"/>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1">
        <f>BE63/15</f>
        <v>46.458181818181821</v>
      </c>
      <c r="BF64" s="1"/>
      <c r="BG64" s="1" t="s">
        <v>53</v>
      </c>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row>
    <row r="65" spans="1:123" x14ac:dyDescent="0.45">
      <c r="A65" s="52"/>
      <c r="B65" s="52"/>
      <c r="C65" s="52"/>
      <c r="D65" s="1"/>
      <c r="E65" s="52"/>
      <c r="F65" s="52"/>
      <c r="G65" s="52"/>
      <c r="H65" s="52"/>
      <c r="I65" s="52"/>
      <c r="J65" s="52"/>
      <c r="K65" s="52"/>
      <c r="L65" s="52"/>
      <c r="M65" s="52"/>
      <c r="N65" s="52"/>
      <c r="O65" s="52"/>
      <c r="P65" s="52"/>
      <c r="Q65" s="52"/>
      <c r="R65" s="52"/>
      <c r="S65" s="52"/>
      <c r="T65" s="52"/>
      <c r="U65" s="52"/>
      <c r="V65" s="52"/>
      <c r="W65" s="52"/>
      <c r="X65" s="52"/>
      <c r="Y65" s="52"/>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1">
        <f>(BE64)</f>
        <v>46.458181818181821</v>
      </c>
      <c r="BF65" s="1"/>
      <c r="BG65" s="1" t="s">
        <v>54</v>
      </c>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row>
    <row r="66" spans="1:123" x14ac:dyDescent="0.45">
      <c r="A66" s="52"/>
      <c r="B66" s="52"/>
      <c r="C66" s="52"/>
      <c r="D66" s="1"/>
      <c r="E66" s="52"/>
      <c r="F66" s="52"/>
      <c r="G66" s="52"/>
      <c r="H66" s="52"/>
      <c r="I66" s="52"/>
      <c r="J66" s="52"/>
      <c r="K66" s="52"/>
      <c r="L66" s="52"/>
      <c r="M66" s="52"/>
      <c r="N66" s="52"/>
      <c r="O66" s="52"/>
      <c r="P66" s="52"/>
      <c r="Q66" s="52"/>
      <c r="R66" s="52"/>
      <c r="S66" s="52"/>
      <c r="T66" s="52"/>
      <c r="U66" s="52"/>
      <c r="V66" s="52"/>
      <c r="W66" s="52"/>
      <c r="X66" s="52"/>
      <c r="Y66" s="52"/>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t="s">
        <v>38</v>
      </c>
      <c r="BD66" s="1"/>
      <c r="BE66" s="11">
        <f>IF((BE65/4)&lt;=D16,BE65/4,D16)</f>
        <v>10</v>
      </c>
      <c r="BF66" s="4"/>
      <c r="BG66" s="1" t="s">
        <v>55</v>
      </c>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row>
    <row r="67" spans="1:123" x14ac:dyDescent="0.45">
      <c r="A67" s="52"/>
      <c r="B67" s="52"/>
      <c r="C67" s="52"/>
      <c r="D67" s="1"/>
      <c r="E67" s="52"/>
      <c r="F67" s="52"/>
      <c r="G67" s="52"/>
      <c r="H67" s="52"/>
      <c r="I67" s="52"/>
      <c r="J67" s="52"/>
      <c r="K67" s="52"/>
      <c r="L67" s="52"/>
      <c r="M67" s="52"/>
      <c r="N67" s="52"/>
      <c r="O67" s="52"/>
      <c r="P67" s="52"/>
      <c r="Q67" s="52"/>
      <c r="R67" s="52"/>
      <c r="S67" s="52"/>
      <c r="T67" s="52"/>
      <c r="U67" s="52"/>
      <c r="V67" s="52"/>
      <c r="W67" s="52"/>
      <c r="X67" s="52"/>
      <c r="Y67" s="52"/>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t="s">
        <v>100</v>
      </c>
      <c r="BD67" s="1"/>
      <c r="BE67" s="4">
        <f>IF(D30="Salary ($/yr)", IF(D31&gt;0.1, IF(D31&lt;=250, (D31*1000)/D14/D16/D15, D31/D14/D16/D15), BS19/D14/D16/D15), IF(D30="Weekly ($/wk)", IF(D31&gt;0.1, D31/D15/D16, BS20/D15/D16), IF(D30="Daily ($/day)", IF(D31&gt;10, D31/D16, BS21/D16), IF(D30="Hourly ($/hr)", IF(D31&gt;10, D31, BS22), IF(D30="% of Revenue", IF(D31&lt;=1, D31*BS23, (D31/100)*BS23), IF(D30="Per Loaded Mile ($/mile)", IF(D31&gt;0.1, D31*(SUM(D37:D38)*BE60), BS24*(SUM(D37:D38))), IF(D30="Per Load ($/load)", IF(D31&gt;0.1, D31*BE60, BS25*BE60), 0)))))))</f>
        <v>26.04</v>
      </c>
      <c r="BF67" s="1"/>
      <c r="BG67" s="1" t="s">
        <v>190</v>
      </c>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row>
    <row r="68" spans="1:123" x14ac:dyDescent="0.45">
      <c r="A68" s="52"/>
      <c r="B68" s="52"/>
      <c r="C68" s="52"/>
      <c r="D68" s="1"/>
      <c r="E68" s="52"/>
      <c r="F68" s="52"/>
      <c r="G68" s="52"/>
      <c r="H68" s="52"/>
      <c r="I68" s="52"/>
      <c r="J68" s="52"/>
      <c r="K68" s="52"/>
      <c r="L68" s="52"/>
      <c r="M68" s="52"/>
      <c r="N68" s="52"/>
      <c r="O68" s="52"/>
      <c r="P68" s="52"/>
      <c r="Q68" s="52"/>
      <c r="R68" s="52"/>
      <c r="S68" s="52"/>
      <c r="T68" s="52"/>
      <c r="U68" s="52"/>
      <c r="V68" s="52"/>
      <c r="W68" s="52"/>
      <c r="X68" s="52"/>
      <c r="Y68" s="52"/>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t="s">
        <v>39</v>
      </c>
      <c r="BD68" s="1"/>
      <c r="BE68" s="4">
        <f>IF(OR(D30 = "Per Loaded Mile ($/mile)", D30 = "Per Load ($/load)"), BE67, IF(BE66&lt;=D16, BE67*BE66, BE67*D16))</f>
        <v>260.39999999999998</v>
      </c>
      <c r="BF68" s="1"/>
      <c r="BG68" s="1" t="s">
        <v>154</v>
      </c>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row>
    <row r="69" spans="1:123" x14ac:dyDescent="0.45">
      <c r="A69" s="52"/>
      <c r="B69" s="52"/>
      <c r="C69" s="52"/>
      <c r="D69" s="1"/>
      <c r="E69" s="52"/>
      <c r="F69" s="52"/>
      <c r="G69" s="52"/>
      <c r="H69" s="52"/>
      <c r="I69" s="52"/>
      <c r="J69" s="52"/>
      <c r="K69" s="52"/>
      <c r="L69" s="52"/>
      <c r="M69" s="52"/>
      <c r="N69" s="52"/>
      <c r="O69" s="52"/>
      <c r="P69" s="52"/>
      <c r="Q69" s="52"/>
      <c r="R69" s="52"/>
      <c r="S69" s="52"/>
      <c r="T69" s="52"/>
      <c r="U69" s="52"/>
      <c r="V69" s="52"/>
      <c r="W69" s="52"/>
      <c r="X69" s="52"/>
      <c r="Y69" s="52"/>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t="s">
        <v>109</v>
      </c>
      <c r="BD69" s="1"/>
      <c r="BE69" s="4">
        <f>BS29*BE67*IF(BE66&lt;=D16,BE66,D16)</f>
        <v>78.797039999999996</v>
      </c>
      <c r="BF69" s="1"/>
      <c r="BG69" s="2" t="s">
        <v>191</v>
      </c>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row>
    <row r="70" spans="1:123" x14ac:dyDescent="0.45">
      <c r="A70" s="52"/>
      <c r="B70" s="52"/>
      <c r="C70" s="52"/>
      <c r="D70" s="1"/>
      <c r="E70" s="52"/>
      <c r="F70" s="52"/>
      <c r="G70" s="52"/>
      <c r="H70" s="52"/>
      <c r="I70" s="52"/>
      <c r="J70" s="52"/>
      <c r="K70" s="52"/>
      <c r="L70" s="52"/>
      <c r="M70" s="52"/>
      <c r="N70" s="52"/>
      <c r="O70" s="52"/>
      <c r="P70" s="52"/>
      <c r="Q70" s="52"/>
      <c r="R70" s="52"/>
      <c r="S70" s="52"/>
      <c r="T70" s="52"/>
      <c r="U70" s="52"/>
      <c r="V70" s="52"/>
      <c r="W70" s="52"/>
      <c r="X70" s="52"/>
      <c r="Y70" s="52"/>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7"/>
      <c r="BF70" s="17"/>
      <c r="BG70" s="17"/>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row>
    <row r="71" spans="1:123" x14ac:dyDescent="0.45">
      <c r="A71" s="52"/>
      <c r="B71" s="52"/>
      <c r="C71" s="52"/>
      <c r="D71" s="1"/>
      <c r="E71" s="52"/>
      <c r="F71" s="52"/>
      <c r="G71" s="52"/>
      <c r="H71" s="52"/>
      <c r="I71" s="52"/>
      <c r="J71" s="52"/>
      <c r="K71" s="52"/>
      <c r="L71" s="52"/>
      <c r="M71" s="52"/>
      <c r="N71" s="52"/>
      <c r="O71" s="52"/>
      <c r="P71" s="52"/>
      <c r="Q71" s="52"/>
      <c r="R71" s="52"/>
      <c r="S71" s="52"/>
      <c r="T71" s="52"/>
      <c r="U71" s="52"/>
      <c r="V71" s="52"/>
      <c r="W71" s="52"/>
      <c r="X71" s="52"/>
      <c r="Y71" s="52"/>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t="s">
        <v>111</v>
      </c>
      <c r="BD71" s="1"/>
      <c r="BE71" s="4">
        <f>IF(D33="Y",BE69+BE68,IF(D33="N",BE68))</f>
        <v>260.39999999999998</v>
      </c>
      <c r="BF71" s="17"/>
      <c r="BG71" s="17"/>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row>
    <row r="72" spans="1:123" x14ac:dyDescent="0.45">
      <c r="A72" s="52"/>
      <c r="B72" s="52"/>
      <c r="C72" s="52"/>
      <c r="D72" s="1"/>
      <c r="E72" s="52"/>
      <c r="F72" s="52"/>
      <c r="G72" s="52"/>
      <c r="H72" s="52"/>
      <c r="I72" s="52"/>
      <c r="J72" s="52"/>
      <c r="K72" s="52"/>
      <c r="L72" s="52"/>
      <c r="M72" s="52"/>
      <c r="N72" s="52"/>
      <c r="O72" s="52"/>
      <c r="P72" s="52"/>
      <c r="Q72" s="52"/>
      <c r="R72" s="52"/>
      <c r="S72" s="52"/>
      <c r="T72" s="52"/>
      <c r="U72" s="52"/>
      <c r="V72" s="52"/>
      <c r="W72" s="52"/>
      <c r="X72" s="52"/>
      <c r="Y72" s="52"/>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7"/>
      <c r="BF72" s="17"/>
      <c r="BG72" s="17"/>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row>
    <row r="73" spans="1:123" x14ac:dyDescent="0.45">
      <c r="A73" s="52"/>
      <c r="B73" s="52"/>
      <c r="C73" s="52"/>
      <c r="D73" s="1"/>
      <c r="E73" s="52"/>
      <c r="F73" s="52"/>
      <c r="G73" s="52"/>
      <c r="H73" s="52"/>
      <c r="I73" s="52"/>
      <c r="J73" s="52"/>
      <c r="K73" s="52"/>
      <c r="L73" s="52"/>
      <c r="M73" s="52"/>
      <c r="N73" s="52"/>
      <c r="O73" s="52"/>
      <c r="P73" s="52"/>
      <c r="Q73" s="52"/>
      <c r="R73" s="52"/>
      <c r="S73" s="52"/>
      <c r="T73" s="52"/>
      <c r="U73" s="52"/>
      <c r="V73" s="52"/>
      <c r="W73" s="52"/>
      <c r="X73" s="52"/>
      <c r="Y73" s="52"/>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7"/>
      <c r="BI73" s="17"/>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row>
    <row r="74" spans="1:123" x14ac:dyDescent="0.45">
      <c r="A74" s="52"/>
      <c r="B74" s="52"/>
      <c r="C74" s="52"/>
      <c r="D74" s="1"/>
      <c r="E74" s="52"/>
      <c r="F74" s="52"/>
      <c r="G74" s="52"/>
      <c r="H74" s="52"/>
      <c r="I74" s="52"/>
      <c r="J74" s="52"/>
      <c r="K74" s="52"/>
      <c r="L74" s="52"/>
      <c r="M74" s="52"/>
      <c r="N74" s="52"/>
      <c r="O74" s="52"/>
      <c r="P74" s="52"/>
      <c r="Q74" s="52"/>
      <c r="R74" s="52"/>
      <c r="S74" s="52"/>
      <c r="T74" s="52"/>
      <c r="U74" s="52"/>
      <c r="V74" s="52"/>
      <c r="W74" s="52"/>
      <c r="X74" s="52"/>
      <c r="Y74" s="52"/>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7"/>
      <c r="BI74" s="17"/>
      <c r="BJ74" s="17"/>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row>
    <row r="75" spans="1:123" x14ac:dyDescent="0.45">
      <c r="A75" s="52"/>
      <c r="B75" s="52"/>
      <c r="C75" s="52"/>
      <c r="D75" s="1"/>
      <c r="E75" s="52"/>
      <c r="F75" s="52"/>
      <c r="G75" s="52"/>
      <c r="H75" s="52"/>
      <c r="I75" s="52"/>
      <c r="J75" s="52"/>
      <c r="K75" s="52"/>
      <c r="L75" s="52"/>
      <c r="M75" s="52"/>
      <c r="N75" s="52"/>
      <c r="O75" s="52"/>
      <c r="P75" s="52"/>
      <c r="Q75" s="52"/>
      <c r="R75" s="52"/>
      <c r="S75" s="52"/>
      <c r="T75" s="52"/>
      <c r="U75" s="52"/>
      <c r="V75" s="52"/>
      <c r="W75" s="52"/>
      <c r="X75" s="52"/>
      <c r="Y75" s="52"/>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7"/>
      <c r="BI75" s="17"/>
      <c r="BJ75" s="17"/>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row>
    <row r="76" spans="1:123" x14ac:dyDescent="0.45">
      <c r="A76" s="52"/>
      <c r="B76" s="52"/>
      <c r="C76" s="52"/>
      <c r="D76" s="1"/>
      <c r="E76" s="52"/>
      <c r="F76" s="52"/>
      <c r="G76" s="52"/>
      <c r="H76" s="52"/>
      <c r="I76" s="52"/>
      <c r="J76" s="52"/>
      <c r="K76" s="52"/>
      <c r="L76" s="52"/>
      <c r="M76" s="52"/>
      <c r="N76" s="52"/>
      <c r="O76" s="52"/>
      <c r="P76" s="52"/>
      <c r="Q76" s="52"/>
      <c r="R76" s="52"/>
      <c r="S76" s="52"/>
      <c r="T76" s="52"/>
      <c r="U76" s="52"/>
      <c r="V76" s="52"/>
      <c r="W76" s="52"/>
      <c r="X76" s="52"/>
      <c r="Y76" s="52"/>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7"/>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row>
    <row r="77" spans="1:123" x14ac:dyDescent="0.45">
      <c r="A77" s="52"/>
      <c r="B77" s="52"/>
      <c r="C77" s="52"/>
      <c r="D77" s="1"/>
      <c r="E77" s="52"/>
      <c r="F77" s="52"/>
      <c r="G77" s="52"/>
      <c r="H77" s="52"/>
      <c r="I77" s="52"/>
      <c r="J77" s="52"/>
      <c r="K77" s="52"/>
      <c r="L77" s="52"/>
      <c r="M77" s="52"/>
      <c r="N77" s="52"/>
      <c r="O77" s="52"/>
      <c r="P77" s="52"/>
      <c r="Q77" s="52"/>
      <c r="R77" s="52"/>
      <c r="S77" s="52"/>
      <c r="T77" s="52"/>
      <c r="U77" s="52"/>
      <c r="V77" s="52"/>
      <c r="W77" s="52"/>
      <c r="X77" s="52"/>
      <c r="Y77" s="52"/>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row>
    <row r="78" spans="1:123" x14ac:dyDescent="0.45">
      <c r="A78" s="52"/>
      <c r="B78" s="52"/>
      <c r="C78" s="52"/>
      <c r="D78" s="1"/>
      <c r="E78" s="52"/>
      <c r="F78" s="52"/>
      <c r="G78" s="52"/>
      <c r="H78" s="52"/>
      <c r="I78" s="52"/>
      <c r="J78" s="52"/>
      <c r="K78" s="52"/>
      <c r="L78" s="52"/>
      <c r="M78" s="52"/>
      <c r="N78" s="52"/>
      <c r="O78" s="52"/>
      <c r="P78" s="52"/>
      <c r="Q78" s="52"/>
      <c r="R78" s="52"/>
      <c r="S78" s="52"/>
      <c r="T78" s="52"/>
      <c r="U78" s="52"/>
      <c r="V78" s="52"/>
      <c r="W78" s="52"/>
      <c r="X78" s="52"/>
      <c r="Y78" s="52"/>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row>
    <row r="79" spans="1:123" x14ac:dyDescent="0.45">
      <c r="A79" s="52"/>
      <c r="B79" s="52"/>
      <c r="C79" s="52"/>
      <c r="D79" s="1"/>
      <c r="E79" s="52"/>
      <c r="F79" s="52"/>
      <c r="G79" s="52"/>
      <c r="H79" s="52"/>
      <c r="I79" s="52"/>
      <c r="J79" s="52"/>
      <c r="K79" s="52"/>
      <c r="L79" s="52"/>
      <c r="M79" s="52"/>
      <c r="N79" s="52"/>
      <c r="O79" s="52"/>
      <c r="P79" s="52"/>
      <c r="Q79" s="52"/>
      <c r="R79" s="52"/>
      <c r="S79" s="52"/>
      <c r="T79" s="52"/>
      <c r="U79" s="52"/>
      <c r="V79" s="52"/>
      <c r="W79" s="52"/>
      <c r="X79" s="52"/>
      <c r="Y79" s="52"/>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row>
    <row r="80" spans="1:123" x14ac:dyDescent="0.45">
      <c r="A80" s="52"/>
      <c r="B80" s="52"/>
      <c r="C80" s="52"/>
      <c r="D80" s="1"/>
      <c r="E80" s="52"/>
      <c r="F80" s="52"/>
      <c r="G80" s="52"/>
      <c r="H80" s="52"/>
      <c r="I80" s="52"/>
      <c r="J80" s="52"/>
      <c r="K80" s="52"/>
      <c r="L80" s="52"/>
      <c r="M80" s="52"/>
      <c r="N80" s="52"/>
      <c r="O80" s="52"/>
      <c r="P80" s="52"/>
      <c r="Q80" s="52"/>
      <c r="R80" s="52"/>
      <c r="S80" s="52"/>
      <c r="T80" s="52"/>
      <c r="U80" s="52"/>
      <c r="V80" s="52"/>
      <c r="W80" s="52"/>
      <c r="X80" s="52"/>
      <c r="Y80" s="52"/>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row>
    <row r="81" spans="1:123" x14ac:dyDescent="0.45">
      <c r="A81" s="52"/>
      <c r="B81" s="52"/>
      <c r="C81" s="52"/>
      <c r="D81" s="1"/>
      <c r="E81" s="52"/>
      <c r="F81" s="52"/>
      <c r="G81" s="52"/>
      <c r="H81" s="52"/>
      <c r="I81" s="52"/>
      <c r="J81" s="1"/>
      <c r="K81" s="1"/>
      <c r="L81" s="1"/>
      <c r="M81" s="1"/>
      <c r="N81" s="1"/>
      <c r="O81" s="1"/>
      <c r="P81" s="1"/>
      <c r="Q81" s="1"/>
      <c r="R81" s="52"/>
      <c r="S81" s="52"/>
      <c r="T81" s="52"/>
      <c r="U81" s="52"/>
      <c r="V81" s="52"/>
      <c r="W81" s="52"/>
      <c r="X81" s="52"/>
      <c r="Y81" s="52"/>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row>
    <row r="82" spans="1:123" x14ac:dyDescent="0.45">
      <c r="A82" s="52"/>
      <c r="B82" s="52"/>
      <c r="C82" s="52"/>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row>
    <row r="83" spans="1:123" x14ac:dyDescent="0.45">
      <c r="A83" s="52"/>
      <c r="B83" s="52"/>
      <c r="C83" s="52"/>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row>
    <row r="84" spans="1:123" x14ac:dyDescent="0.45">
      <c r="A84" s="52"/>
      <c r="B84" s="52"/>
      <c r="C84" s="52"/>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row>
    <row r="85" spans="1:123" x14ac:dyDescent="0.45">
      <c r="A85" s="52"/>
      <c r="B85" s="52"/>
      <c r="C85" s="52"/>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row>
    <row r="86" spans="1:123" x14ac:dyDescent="0.45">
      <c r="A86" s="52"/>
      <c r="B86" s="52"/>
      <c r="C86" s="52"/>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row>
    <row r="87" spans="1:123" x14ac:dyDescent="0.45">
      <c r="A87" s="52"/>
      <c r="B87" s="52"/>
      <c r="C87" s="52"/>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row>
    <row r="88" spans="1:123" x14ac:dyDescent="0.45">
      <c r="A88" s="52"/>
      <c r="B88" s="52"/>
      <c r="C88" s="52"/>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row>
    <row r="89" spans="1:123" x14ac:dyDescent="0.45">
      <c r="A89" s="52"/>
      <c r="B89" s="52"/>
      <c r="C89" s="52"/>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row>
    <row r="90" spans="1:123" x14ac:dyDescent="0.45">
      <c r="A90" s="52"/>
      <c r="B90" s="52"/>
      <c r="C90" s="52"/>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row>
    <row r="91" spans="1:123" x14ac:dyDescent="0.45">
      <c r="A91" s="52"/>
      <c r="B91" s="52"/>
      <c r="C91" s="52"/>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row>
    <row r="92" spans="1:123" x14ac:dyDescent="0.45">
      <c r="A92" s="52"/>
      <c r="B92" s="52"/>
      <c r="C92" s="52"/>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row>
    <row r="93" spans="1:123" x14ac:dyDescent="0.45">
      <c r="A93" s="52"/>
      <c r="B93" s="52"/>
      <c r="C93" s="52"/>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row>
    <row r="94" spans="1:123" x14ac:dyDescent="0.45">
      <c r="A94" s="52"/>
      <c r="B94" s="52"/>
      <c r="C94" s="52"/>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row>
    <row r="95" spans="1:123" x14ac:dyDescent="0.45">
      <c r="A95" s="52"/>
      <c r="B95" s="52"/>
      <c r="C95" s="52"/>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row>
    <row r="96" spans="1:123" x14ac:dyDescent="0.45">
      <c r="A96" s="52" t="s">
        <v>210</v>
      </c>
      <c r="B96" s="52"/>
      <c r="C96" s="52"/>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row>
    <row r="97" spans="1:123" x14ac:dyDescent="0.45">
      <c r="A97" s="52" t="s">
        <v>197</v>
      </c>
      <c r="B97" s="52"/>
      <c r="C97" s="52"/>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row>
    <row r="98" spans="1:123" x14ac:dyDescent="0.45">
      <c r="A98" s="1" t="s">
        <v>211</v>
      </c>
      <c r="B98" s="52"/>
      <c r="C98" s="52"/>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row>
    <row r="99" spans="1:123" x14ac:dyDescent="0.45">
      <c r="A99" s="1" t="s">
        <v>199</v>
      </c>
      <c r="B99" s="52"/>
      <c r="C99" s="52"/>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row>
    <row r="100" spans="1:123" x14ac:dyDescent="0.45">
      <c r="A100" s="1" t="s">
        <v>200</v>
      </c>
      <c r="B100" s="52"/>
      <c r="C100" s="52"/>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row>
    <row r="101" spans="1:123" x14ac:dyDescent="0.45">
      <c r="A101" s="1" t="s">
        <v>201</v>
      </c>
      <c r="B101" s="52"/>
      <c r="C101" s="52"/>
      <c r="D101" s="1"/>
      <c r="AH101" s="1"/>
      <c r="AI101" s="1"/>
      <c r="AJ101" s="1"/>
      <c r="AK101" s="1"/>
      <c r="BH101" s="1"/>
      <c r="BI101" s="1"/>
      <c r="BJ101" s="1"/>
      <c r="BK101" s="1"/>
      <c r="BL101" s="1"/>
      <c r="BM101" s="1"/>
      <c r="DD101" s="1"/>
      <c r="DE101" s="1"/>
      <c r="DF101" s="1"/>
      <c r="DG101" s="1"/>
      <c r="DH101" s="1"/>
      <c r="DI101" s="1"/>
      <c r="DJ101" s="1"/>
      <c r="DK101" s="1"/>
      <c r="DL101" s="1"/>
      <c r="DM101" s="1"/>
      <c r="DN101" s="1"/>
      <c r="DO101" s="1"/>
      <c r="DP101" s="1"/>
      <c r="DQ101" s="1"/>
      <c r="DR101" s="1"/>
      <c r="DS101" s="1"/>
    </row>
    <row r="102" spans="1:123" x14ac:dyDescent="0.45">
      <c r="A102" s="1" t="s">
        <v>202</v>
      </c>
      <c r="B102"/>
      <c r="C102"/>
      <c r="BJ102" s="1"/>
      <c r="BK102" s="1"/>
      <c r="BL102" s="1"/>
      <c r="BM102" s="1"/>
    </row>
  </sheetData>
  <sheetProtection sheet="1" objects="1" scenarios="1"/>
  <sortState xmlns:xlrd2="http://schemas.microsoft.com/office/spreadsheetml/2017/richdata2" ref="Q24:U32">
    <sortCondition descending="1" ref="R24:R32"/>
  </sortState>
  <mergeCells count="3">
    <mergeCell ref="D2:F2"/>
    <mergeCell ref="C3:G3"/>
    <mergeCell ref="C4:G4"/>
  </mergeCells>
  <dataValidations count="19">
    <dataValidation type="custom" allowBlank="1" showInputMessage="1" showErrorMessage="1" sqref="K18" xr:uid="{5A8C9859-FD61-4C24-B9CD-B9E40DF37B51}">
      <formula1>K18&lt;=14</formula1>
    </dataValidation>
    <dataValidation type="list" errorStyle="information" allowBlank="1" showInputMessage="1" showErrorMessage="1" errorTitle="Check Input" error="Please double check that your value is correct." promptTitle="Trucks" prompt="New or Used? New vehicles are estimated to cost more in truck cost calculations." sqref="D24" xr:uid="{42947C5C-2D03-4774-A927-CB1E8A90A02F}">
      <formula1>$BO$29:$BO$30</formula1>
    </dataValidation>
    <dataValidation type="list" errorStyle="information" allowBlank="1" showInputMessage="1" showErrorMessage="1" errorTitle="Check Input" error="Please double check that your value is correct." promptTitle="Driver Pay Style" prompt="How are drivers typically paid?" sqref="D30" xr:uid="{535817EA-E1CA-4C52-9A93-ECB999A9644E}">
      <formula1>$BR$19:$BR$25</formula1>
    </dataValidation>
    <dataValidation type="list" errorStyle="information" allowBlank="1" showInputMessage="1" showErrorMessage="1" errorTitle="Check Input" error="Please double check that your value is correct." promptTitle="Benefits" prompt="Do you offer benefits to your drivers?" sqref="D33" xr:uid="{E22BD904-3E57-4CAE-A55F-623D8C241F0A}">
      <formula1>$BR$29:$BR$30</formula1>
    </dataValidation>
    <dataValidation type="list" errorStyle="information" allowBlank="1" showInputMessage="1" showErrorMessage="1" errorTitle="Check Input" error="Please double check that your value is correct." promptTitle="Weeks per Year" prompt="How many weeks per year do your log truck drivers typically work?" sqref="D14" xr:uid="{8DC4E55F-BFE4-4F48-90C5-7A8CB1CCDCE1}">
      <formula1>$CH$19:$CH$36</formula1>
    </dataValidation>
    <dataValidation type="list" errorStyle="information" allowBlank="1" showInputMessage="1" showErrorMessage="1" errorTitle="Check Input" error="Please double check that your value is correct." promptTitle="Days per Week" prompt="How many days per week do your truck drivers typically work?" sqref="D15" xr:uid="{F1A68199-6827-467B-9644-5D30770FD66A}">
      <formula1>$CI$19:$CI$25</formula1>
    </dataValidation>
    <dataValidation type="list" errorStyle="information" allowBlank="1" showInputMessage="1" showErrorMessage="1" errorTitle="Check Input" error="Please double check that your value is correct." promptTitle="MPG" prompt="What is the average fuel economy of your trucks?" sqref="D21" xr:uid="{EFE86FB6-00EE-4B53-B098-2CF8E5A7001B}">
      <formula1>$CL$19:$CL$27</formula1>
    </dataValidation>
    <dataValidation allowBlank="1" showInputMessage="1" showErrorMessage="1" promptTitle="Woods Turn-Time" prompt="This is the average amount of time spent in the woods waiting and being loaded." sqref="D42" xr:uid="{002B2833-5306-4A49-BE38-2D2A662AAC02}"/>
    <dataValidation allowBlank="1" showInputMessage="1" promptTitle="Mill Turn-Time" prompt="This is the average amount of time spent at the mill waiting and being unloaded." sqref="D43" xr:uid="{2B9130E2-41D4-48BC-A373-2605A6957F40}"/>
    <dataValidation allowBlank="1" showInputMessage="1" showErrorMessage="1" promptTitle="Fuel Cost" prompt="What is the average cost for a gallon of on-road diesel fuel in your area? " sqref="D20" xr:uid="{78898205-A21C-4D1E-9B40-32F839DE29AB}"/>
    <dataValidation allowBlank="1" showInputMessage="1" showErrorMessage="1" promptTitle="Driver Pay Amount" prompt="Please input the typical amount a driver is paid by their pay style. This value should match with the pay style above. For example, $30/hr should be input as &quot;30&quot;, 40% of revenue should be input as &quot;40&quot;, $1.65/loaded mile should be input as &quot;1.65&quot;, etc." sqref="D31" xr:uid="{761279AD-3AB4-41A1-B355-C271B3E78B0F}"/>
    <dataValidation allowBlank="1" showInputMessage="1" showErrorMessage="1" promptTitle="Forest Road Distance" prompt="This is the one-way distance of unpaved or woods road expected to access the harvest site, distance from paved road to logging deck." sqref="D37" xr:uid="{FFABB91F-6972-49A7-9C6A-53923834BA7A}"/>
    <dataValidation allowBlank="1" showInputMessage="1" showErrorMessage="1" promptTitle="Paved Road Distance" prompt="This is the one-way paved road distance between the harvest site and mill location." sqref="D38:D39" xr:uid="{7677FA5E-3C49-47AF-A917-047E36772FBC}"/>
    <dataValidation type="list" errorStyle="information" allowBlank="1" showInputMessage="1" showErrorMessage="1" errorTitle="Check Input" error="Please double check that your value is correct." promptTitle="Trailers" prompt="Which type of trailers are typically used by your company?" sqref="D25" xr:uid="{E65DA766-28B9-4C16-96B4-23F0BBC1C842}">
      <formula1>$BO$37:$BO$41</formula1>
    </dataValidation>
    <dataValidation type="list" errorStyle="information" allowBlank="1" showInputMessage="1" showErrorMessage="1" errorTitle="Check Input" error="Please double check that your value is correct." promptTitle="Average Payload (Tons)" prompt="What is the average payload (in tons) on your trucks? " sqref="D18" xr:uid="{A59806B6-BE32-452B-ABFD-6291E1F1F851}">
      <formula1>$CK$19:$CK$47</formula1>
    </dataValidation>
    <dataValidation type="list" errorStyle="information" allowBlank="1" showInputMessage="1" showErrorMessage="1" errorTitle="Check Input" error="Please double check that your value is correct." promptTitle="Hours per Day" prompt="How many hours per day do your truck drivers typically work?" sqref="D16" xr:uid="{CE0637FB-0B09-41D7-A876-3B62B1343D32}">
      <formula1>$CJ$19:$CJ$45</formula1>
    </dataValidation>
    <dataValidation type="list" errorStyle="information" allowBlank="1" showInputMessage="1" showErrorMessage="1" errorTitle="Check Input" error="Please double check that your value is correct." promptTitle="Insurance Premium Cost" prompt="What is the average insurance premium cost per truck per year in your company?" sqref="D26" xr:uid="{4944C9CE-40F3-4B6A-BEAF-F4049B26429C}">
      <formula1>$CM$19:$CM$61</formula1>
    </dataValidation>
    <dataValidation type="list" errorStyle="information" allowBlank="1" showInputMessage="1" showErrorMessage="1" errorTitle="Check Input" error="Please double check that your value is correct." promptTitle="Permits/Taxes" prompt="What is the average annual cost for permits and taxes on one truck?" sqref="D27" xr:uid="{738D3677-1B4F-462B-91EC-688E086A2704}">
      <formula1>$CN$19:$CN$39</formula1>
    </dataValidation>
    <dataValidation type="list" allowBlank="1" sqref="D44" xr:uid="{A18F7B39-5CE0-4045-BA65-D114554A4201}">
      <formula1>$CO$19:$CO$37</formula1>
    </dataValidation>
  </dataValidation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F9B14-F4E7-4C02-B9E4-7C415D9273DC}">
  <sheetPr codeName="Sheet2"/>
  <dimension ref="A1:DG102"/>
  <sheetViews>
    <sheetView topLeftCell="A39" zoomScale="90" zoomScaleNormal="90" zoomScaleSheetLayoutView="40" workbookViewId="0"/>
  </sheetViews>
  <sheetFormatPr defaultColWidth="9.1328125" defaultRowHeight="14.25" x14ac:dyDescent="0.45"/>
  <cols>
    <col min="1" max="3" width="9.1328125" style="2"/>
    <col min="4" max="4" width="16" style="2" bestFit="1" customWidth="1"/>
    <col min="5" max="5" width="13.59765625" style="2" customWidth="1"/>
    <col min="6" max="6" width="9.1328125" style="2"/>
    <col min="7" max="7" width="11.265625" style="2" bestFit="1" customWidth="1"/>
    <col min="8" max="8" width="9.265625" style="2" customWidth="1"/>
    <col min="9" max="9" width="9.1328125" style="2"/>
    <col min="10" max="10" width="11.265625" style="2" customWidth="1"/>
    <col min="11" max="11" width="13.265625" style="2" customWidth="1"/>
    <col min="12" max="12" width="10.86328125" style="2" customWidth="1"/>
    <col min="13" max="13" width="9.1328125" style="2"/>
    <col min="14" max="14" width="10.9296875" style="2" customWidth="1"/>
    <col min="15" max="15" width="11.265625" style="2" customWidth="1"/>
    <col min="16" max="16" width="10.1328125" style="2" bestFit="1" customWidth="1"/>
    <col min="17" max="21" width="9.1328125" style="2"/>
    <col min="22" max="22" width="11.3984375" style="2" customWidth="1"/>
    <col min="23" max="23" width="13.73046875" style="2" customWidth="1"/>
    <col min="24" max="24" width="10.73046875" style="2" customWidth="1"/>
    <col min="25" max="25" width="12" style="2" customWidth="1"/>
    <col min="26" max="26" width="13.265625" style="2" customWidth="1"/>
    <col min="27" max="27" width="9.59765625" style="2" customWidth="1"/>
    <col min="28" max="35" width="9.1328125" style="2"/>
    <col min="36" max="36" width="12.265625" style="2" customWidth="1"/>
    <col min="37" max="37" width="9.59765625" style="2" customWidth="1"/>
    <col min="38" max="38" width="11.3984375" style="2" customWidth="1"/>
    <col min="39" max="43" width="9.1328125" style="2"/>
    <col min="44" max="44" width="13.59765625" style="2" customWidth="1"/>
    <col min="45" max="54" width="9.1328125" style="2"/>
    <col min="55" max="55" width="22.796875" style="2" customWidth="1"/>
    <col min="56" max="56" width="13.1328125" style="2" customWidth="1"/>
    <col min="57" max="58" width="15.86328125" style="2" customWidth="1"/>
    <col min="59" max="59" width="11" style="2" customWidth="1"/>
    <col min="60" max="60" width="10.796875" style="2" bestFit="1" customWidth="1"/>
    <col min="61" max="66" width="9.1328125" style="2"/>
    <col min="67" max="67" width="13.73046875" style="2" customWidth="1"/>
    <col min="68" max="68" width="11.86328125" style="2" customWidth="1"/>
    <col min="69" max="69" width="9.1328125" style="2"/>
    <col min="70" max="70" width="13.73046875" style="2" customWidth="1"/>
    <col min="71" max="90" width="9.1328125" style="2"/>
    <col min="91" max="91" width="12.265625" style="2" bestFit="1" customWidth="1"/>
    <col min="92" max="92" width="13.59765625" style="2" bestFit="1" customWidth="1"/>
    <col min="93" max="16384" width="9.1328125" style="2"/>
  </cols>
  <sheetData>
    <row r="1" spans="1:111" x14ac:dyDescent="0.45">
      <c r="A1" s="52"/>
      <c r="B1" s="52"/>
      <c r="C1" s="52"/>
      <c r="D1" s="52"/>
      <c r="E1" s="52"/>
      <c r="F1" s="52"/>
      <c r="G1" s="52"/>
      <c r="H1" s="52"/>
      <c r="I1" s="52"/>
      <c r="J1" s="52"/>
      <c r="K1" s="52"/>
      <c r="L1" s="52"/>
      <c r="M1" s="52"/>
      <c r="N1" s="52"/>
      <c r="O1" s="52"/>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row>
    <row r="2" spans="1:111" ht="23.25" x14ac:dyDescent="0.7">
      <c r="A2" s="52"/>
      <c r="B2" s="52"/>
      <c r="C2" s="52"/>
      <c r="D2" s="116" t="s">
        <v>0</v>
      </c>
      <c r="E2" s="116"/>
      <c r="F2" s="116"/>
      <c r="G2" s="52"/>
      <c r="H2" s="52"/>
      <c r="I2" s="52"/>
      <c r="J2" s="52"/>
      <c r="K2" s="52"/>
      <c r="L2" s="52"/>
      <c r="M2" s="52"/>
      <c r="N2" s="52"/>
      <c r="O2" s="52"/>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row>
    <row r="3" spans="1:111" x14ac:dyDescent="0.45">
      <c r="A3" s="52"/>
      <c r="B3" s="52"/>
      <c r="C3" s="117" t="s">
        <v>1</v>
      </c>
      <c r="D3" s="117"/>
      <c r="E3" s="117"/>
      <c r="F3" s="117"/>
      <c r="G3" s="117"/>
      <c r="H3" s="52"/>
      <c r="I3" s="52"/>
      <c r="J3" s="52"/>
      <c r="K3" s="52"/>
      <c r="L3" s="52"/>
      <c r="M3" s="52"/>
      <c r="N3" s="52"/>
      <c r="O3" s="52"/>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row>
    <row r="4" spans="1:111" x14ac:dyDescent="0.45">
      <c r="A4" s="52"/>
      <c r="B4" s="52"/>
      <c r="C4" s="117" t="s">
        <v>119</v>
      </c>
      <c r="D4" s="117"/>
      <c r="E4" s="117"/>
      <c r="F4" s="117"/>
      <c r="G4" s="117"/>
      <c r="H4" s="52"/>
      <c r="I4" s="52"/>
      <c r="J4" s="52"/>
      <c r="K4" s="52"/>
      <c r="L4" s="52"/>
      <c r="M4" s="52"/>
      <c r="N4" s="52"/>
      <c r="O4" s="52"/>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row>
    <row r="5" spans="1:111" x14ac:dyDescent="0.45">
      <c r="A5" s="52"/>
      <c r="B5" s="52"/>
      <c r="C5" s="55"/>
      <c r="D5" s="55"/>
      <c r="E5" s="55"/>
      <c r="F5" s="55"/>
      <c r="G5" s="55"/>
      <c r="H5" s="52"/>
      <c r="I5" s="52"/>
      <c r="J5" s="52"/>
      <c r="K5" s="52"/>
      <c r="L5" s="52"/>
      <c r="M5" s="52"/>
      <c r="N5" s="52"/>
      <c r="O5" s="52"/>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x14ac:dyDescent="0.45">
      <c r="A6" s="52"/>
      <c r="B6" s="52" t="s">
        <v>164</v>
      </c>
      <c r="C6" s="52"/>
      <c r="D6" s="52"/>
      <c r="E6" s="52"/>
      <c r="F6" s="52"/>
      <c r="G6" s="52"/>
      <c r="H6" s="52"/>
      <c r="I6" s="52"/>
      <c r="J6" s="52"/>
      <c r="K6" s="52"/>
      <c r="L6" s="52"/>
      <c r="M6" s="52"/>
      <c r="N6" s="52"/>
      <c r="O6" s="52"/>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row>
    <row r="7" spans="1:111" x14ac:dyDescent="0.45">
      <c r="A7" s="52"/>
      <c r="B7" s="52" t="s">
        <v>56</v>
      </c>
      <c r="C7" s="52"/>
      <c r="D7" s="52"/>
      <c r="E7" s="52"/>
      <c r="F7" s="52"/>
      <c r="G7" s="52"/>
      <c r="H7" s="52"/>
      <c r="I7" s="52"/>
      <c r="J7" s="52"/>
      <c r="K7" s="52"/>
      <c r="L7" s="52"/>
      <c r="M7" s="52"/>
      <c r="N7" s="52"/>
      <c r="O7" s="52"/>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row>
    <row r="8" spans="1:111" x14ac:dyDescent="0.45">
      <c r="A8" s="52"/>
      <c r="B8" s="52" t="s">
        <v>192</v>
      </c>
      <c r="C8" s="52"/>
      <c r="D8" s="52"/>
      <c r="E8" s="52"/>
      <c r="F8" s="52"/>
      <c r="G8" s="52"/>
      <c r="H8" s="52"/>
      <c r="I8" s="52"/>
      <c r="J8" s="52"/>
      <c r="K8" s="52"/>
      <c r="L8" s="52"/>
      <c r="M8" s="52"/>
      <c r="N8" s="52"/>
      <c r="O8" s="52"/>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row>
    <row r="9" spans="1:111" x14ac:dyDescent="0.45">
      <c r="A9" s="52"/>
      <c r="B9" t="s">
        <v>175</v>
      </c>
      <c r="C9" s="52"/>
      <c r="D9" s="52"/>
      <c r="E9" s="52"/>
      <c r="F9" s="52"/>
      <c r="G9" s="52"/>
      <c r="H9" s="52"/>
      <c r="I9" s="52"/>
      <c r="J9" s="52"/>
      <c r="K9" s="52"/>
      <c r="L9" s="52"/>
      <c r="M9" s="52"/>
      <c r="N9" s="52"/>
      <c r="O9" s="52"/>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row>
    <row r="10" spans="1:111" x14ac:dyDescent="0.45">
      <c r="A10" s="52"/>
      <c r="B10" s="66" t="s">
        <v>165</v>
      </c>
      <c r="C10" s="52"/>
      <c r="D10" s="52"/>
      <c r="E10" s="52"/>
      <c r="F10" s="52"/>
      <c r="G10" s="52"/>
      <c r="H10" s="52"/>
      <c r="I10" s="52"/>
      <c r="J10" s="52"/>
      <c r="K10" s="52"/>
      <c r="L10" s="52"/>
      <c r="M10" s="52"/>
      <c r="N10" s="52"/>
      <c r="O10" s="52"/>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row>
    <row r="11" spans="1:111" x14ac:dyDescent="0.45">
      <c r="A11" s="52"/>
      <c r="B11" s="52"/>
      <c r="C11" s="52"/>
      <c r="D11" s="52"/>
      <c r="E11" s="52"/>
      <c r="F11" s="52"/>
      <c r="G11" s="52"/>
      <c r="H11" s="52"/>
      <c r="I11" s="52"/>
      <c r="J11" s="52"/>
      <c r="K11" s="52"/>
      <c r="L11" s="52"/>
      <c r="M11" s="52"/>
      <c r="N11" s="52"/>
      <c r="O11" s="52"/>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row>
    <row r="12" spans="1:111" ht="18" x14ac:dyDescent="0.55000000000000004">
      <c r="A12" s="1"/>
      <c r="B12" s="1"/>
      <c r="C12" s="1"/>
      <c r="D12" s="21" t="s">
        <v>60</v>
      </c>
      <c r="E12" s="1"/>
      <c r="F12" s="1"/>
      <c r="G12" s="1"/>
      <c r="H12" s="1"/>
      <c r="I12" s="68" t="s">
        <v>61</v>
      </c>
      <c r="J12" s="52"/>
      <c r="K12" s="52"/>
      <c r="L12" s="52"/>
      <c r="M12" s="52"/>
      <c r="N12" s="52"/>
      <c r="O12" s="52"/>
      <c r="P12" s="52"/>
      <c r="Q12" s="52"/>
      <c r="R12" s="52"/>
      <c r="S12" s="1"/>
      <c r="T12" s="1"/>
      <c r="U12" s="1"/>
      <c r="V12" s="1"/>
      <c r="W12" s="1"/>
      <c r="X12" s="1"/>
      <c r="Y12" s="1"/>
      <c r="Z12" s="1"/>
      <c r="AA12" s="1"/>
      <c r="AB12" s="1"/>
      <c r="AC12" s="1"/>
      <c r="AD12" s="1"/>
      <c r="AE12" s="1"/>
      <c r="AF12" s="1"/>
      <c r="AG12" s="1"/>
      <c r="AH12" s="3" t="s">
        <v>159</v>
      </c>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4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row>
    <row r="13" spans="1:111" x14ac:dyDescent="0.45">
      <c r="A13" s="1"/>
      <c r="B13" s="1"/>
      <c r="C13" s="1"/>
      <c r="D13" s="36"/>
      <c r="E13" s="1"/>
      <c r="F13" s="1"/>
      <c r="G13" s="1"/>
      <c r="H13" s="1"/>
      <c r="I13" s="52"/>
      <c r="J13" s="52"/>
      <c r="K13" s="52"/>
      <c r="L13" s="52"/>
      <c r="M13" s="52"/>
      <c r="N13" s="52"/>
      <c r="O13" s="52"/>
      <c r="P13" s="52"/>
      <c r="Q13" s="52"/>
      <c r="R13" s="52"/>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3" t="s">
        <v>70</v>
      </c>
      <c r="BD13" s="1"/>
      <c r="BE13" s="1"/>
      <c r="BF13" s="1"/>
      <c r="BG13" s="1"/>
      <c r="BH13" s="1"/>
      <c r="BI13" s="1"/>
      <c r="BJ13" s="1"/>
      <c r="BK13" s="1"/>
      <c r="BL13" s="1"/>
      <c r="BM13" s="1"/>
      <c r="BN13" s="1"/>
      <c r="BO13" s="84" t="s">
        <v>108</v>
      </c>
      <c r="BP13" s="85"/>
      <c r="BQ13" s="85"/>
      <c r="BR13" s="85"/>
      <c r="BS13" s="85"/>
      <c r="BT13" s="85"/>
      <c r="BU13" s="85"/>
      <c r="BV13" s="86"/>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row>
    <row r="14" spans="1:111" x14ac:dyDescent="0.45">
      <c r="A14" s="52" t="s">
        <v>62</v>
      </c>
      <c r="B14" s="52"/>
      <c r="C14" s="52"/>
      <c r="D14" s="53">
        <f>Simplified!D14</f>
        <v>50</v>
      </c>
      <c r="E14" s="52"/>
      <c r="F14" s="52"/>
      <c r="G14" s="52"/>
      <c r="H14" s="52"/>
      <c r="I14" s="74" t="s">
        <v>134</v>
      </c>
      <c r="J14" s="70"/>
      <c r="K14" s="52"/>
      <c r="L14" s="52"/>
      <c r="M14" s="52"/>
      <c r="N14" s="52"/>
      <c r="O14" s="52"/>
      <c r="P14" s="52"/>
      <c r="Q14" s="52"/>
      <c r="R14" s="52"/>
      <c r="S14" s="1"/>
      <c r="T14" s="1"/>
      <c r="U14" s="1"/>
      <c r="V14" s="1"/>
      <c r="W14" s="1"/>
      <c r="X14" s="1"/>
      <c r="Y14" s="1"/>
      <c r="Z14" s="1"/>
      <c r="AA14" s="1"/>
      <c r="AB14" s="1"/>
      <c r="AC14" s="1"/>
      <c r="AD14" s="1"/>
      <c r="AE14" s="1"/>
      <c r="AF14" s="1"/>
      <c r="AG14" s="1"/>
      <c r="AH14" s="1" t="s">
        <v>62</v>
      </c>
      <c r="AI14" s="1"/>
      <c r="AJ14" s="1"/>
      <c r="AK14" s="25">
        <v>50</v>
      </c>
      <c r="AL14" s="25"/>
      <c r="AM14" s="1"/>
      <c r="AN14" s="1"/>
      <c r="AO14" s="1"/>
      <c r="AP14" s="1"/>
      <c r="AQ14" s="1"/>
      <c r="AR14" s="1"/>
      <c r="AS14" s="1"/>
      <c r="AT14" s="1"/>
      <c r="AU14" s="1"/>
      <c r="AV14" s="1"/>
      <c r="AW14" s="1"/>
      <c r="AX14" s="1"/>
      <c r="AY14" s="1"/>
      <c r="AZ14" s="1"/>
      <c r="BA14" s="1"/>
      <c r="BB14" s="1"/>
      <c r="BC14" s="1"/>
      <c r="BD14" s="1"/>
      <c r="BE14" s="1" t="s">
        <v>50</v>
      </c>
      <c r="BF14" s="1"/>
      <c r="BG14" s="1"/>
      <c r="BH14" s="1"/>
      <c r="BI14" s="1"/>
      <c r="BJ14" s="1"/>
      <c r="BK14" s="1"/>
      <c r="BL14" s="1"/>
      <c r="BM14" s="1"/>
      <c r="BN14" s="1"/>
      <c r="BO14" s="87" t="s">
        <v>71</v>
      </c>
      <c r="BP14" s="1">
        <v>50</v>
      </c>
      <c r="BQ14" s="1"/>
      <c r="BR14" s="1"/>
      <c r="BS14" s="1"/>
      <c r="BT14" s="1"/>
      <c r="BU14" s="1"/>
      <c r="BV14" s="88"/>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row>
    <row r="15" spans="1:111" x14ac:dyDescent="0.45">
      <c r="A15" s="52" t="s">
        <v>42</v>
      </c>
      <c r="B15" s="52"/>
      <c r="C15" s="52"/>
      <c r="D15" s="53">
        <f>Simplified!D15</f>
        <v>5</v>
      </c>
      <c r="E15" s="52"/>
      <c r="F15" s="52"/>
      <c r="G15" s="52"/>
      <c r="H15" s="52"/>
      <c r="I15" s="71" t="s">
        <v>113</v>
      </c>
      <c r="J15" s="52"/>
      <c r="K15" s="72">
        <f>BE60</f>
        <v>4</v>
      </c>
      <c r="L15" s="52"/>
      <c r="M15" s="52"/>
      <c r="N15" s="52"/>
      <c r="O15" s="52"/>
      <c r="P15" s="52"/>
      <c r="Q15" s="52"/>
      <c r="R15" s="52"/>
      <c r="S15" s="1"/>
      <c r="T15" s="1"/>
      <c r="U15" s="1"/>
      <c r="V15" s="1"/>
      <c r="W15" s="1"/>
      <c r="X15" s="1"/>
      <c r="Y15" s="1"/>
      <c r="Z15" s="1"/>
      <c r="AA15" s="1"/>
      <c r="AB15" s="1"/>
      <c r="AC15" s="1"/>
      <c r="AD15" s="1"/>
      <c r="AE15" s="1"/>
      <c r="AF15" s="1"/>
      <c r="AG15" s="1"/>
      <c r="AH15" s="1" t="s">
        <v>42</v>
      </c>
      <c r="AI15" s="1"/>
      <c r="AJ15" s="1"/>
      <c r="AK15" s="25">
        <v>5</v>
      </c>
      <c r="AL15" s="25"/>
      <c r="AM15" s="1"/>
      <c r="AN15" s="1"/>
      <c r="AO15" s="1"/>
      <c r="AP15" s="1"/>
      <c r="AQ15" s="1"/>
      <c r="AR15" s="1"/>
      <c r="AS15" s="1"/>
      <c r="AT15" s="1"/>
      <c r="AU15" s="1"/>
      <c r="AV15" s="1"/>
      <c r="AW15" s="1"/>
      <c r="AX15" s="1"/>
      <c r="AY15" s="1"/>
      <c r="AZ15" s="1"/>
      <c r="BA15" s="1"/>
      <c r="BB15" s="1"/>
      <c r="BC15" s="3" t="s">
        <v>11</v>
      </c>
      <c r="BD15" s="1"/>
      <c r="BE15" s="1" t="s">
        <v>12</v>
      </c>
      <c r="BF15" s="1" t="s">
        <v>13</v>
      </c>
      <c r="BG15" s="1"/>
      <c r="BH15" s="1"/>
      <c r="BI15" s="1"/>
      <c r="BJ15" s="1"/>
      <c r="BK15" s="1"/>
      <c r="BL15" s="1"/>
      <c r="BM15" s="1"/>
      <c r="BN15" s="1"/>
      <c r="BO15" s="87" t="s">
        <v>72</v>
      </c>
      <c r="BP15" s="1">
        <v>10</v>
      </c>
      <c r="BQ15" s="1"/>
      <c r="BR15" s="1"/>
      <c r="BS15" s="1"/>
      <c r="BT15" s="1"/>
      <c r="BU15" s="1"/>
      <c r="BV15" s="88"/>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row>
    <row r="16" spans="1:111" x14ac:dyDescent="0.45">
      <c r="A16" s="52" t="s">
        <v>41</v>
      </c>
      <c r="B16" s="52"/>
      <c r="C16" s="52"/>
      <c r="D16" s="53">
        <f>Simplified!D16</f>
        <v>10</v>
      </c>
      <c r="E16" s="52"/>
      <c r="F16" s="52"/>
      <c r="G16" s="52"/>
      <c r="H16" s="52"/>
      <c r="I16" s="71" t="s">
        <v>114</v>
      </c>
      <c r="J16" s="52"/>
      <c r="K16" s="73">
        <f>BE36</f>
        <v>114</v>
      </c>
      <c r="L16" s="52"/>
      <c r="M16" s="52"/>
      <c r="N16" s="52"/>
      <c r="O16" s="52"/>
      <c r="P16" s="52"/>
      <c r="Q16" s="52"/>
      <c r="R16" s="52"/>
      <c r="S16" s="1"/>
      <c r="T16" s="1"/>
      <c r="U16" s="1"/>
      <c r="V16" s="1"/>
      <c r="W16" s="1"/>
      <c r="X16" s="1"/>
      <c r="Y16" s="1"/>
      <c r="Z16" s="1"/>
      <c r="AA16" s="1"/>
      <c r="AB16" s="1"/>
      <c r="AC16" s="1"/>
      <c r="AD16" s="1"/>
      <c r="AE16" s="1"/>
      <c r="AF16" s="1"/>
      <c r="AG16" s="1"/>
      <c r="AH16" s="1" t="s">
        <v>41</v>
      </c>
      <c r="AI16" s="1"/>
      <c r="AJ16" s="1"/>
      <c r="AK16" s="25">
        <v>10</v>
      </c>
      <c r="AL16" s="25"/>
      <c r="AM16" s="1"/>
      <c r="AN16" s="1"/>
      <c r="AO16" s="1"/>
      <c r="AP16" s="1"/>
      <c r="AQ16" s="1"/>
      <c r="AR16" s="1"/>
      <c r="AS16" s="1"/>
      <c r="AT16" s="1"/>
      <c r="AU16" s="1"/>
      <c r="AV16" s="1"/>
      <c r="AW16" s="1"/>
      <c r="AX16" s="1"/>
      <c r="AY16" s="1"/>
      <c r="AZ16" s="1"/>
      <c r="BA16" s="1"/>
      <c r="BB16" s="1"/>
      <c r="BC16" s="1"/>
      <c r="BD16" s="1" t="s">
        <v>43</v>
      </c>
      <c r="BE16" s="28">
        <f>IF(AND(E32&gt;0, E33&gt;0, E34&gt;0), PMT(E32, E33, E31, E34)*-1, IF(AND(ISNUMBER(E31), E31&gt;500), E31/E35, PMT(BP31, BP32, IF(D30="New Vehicle", BP29, BP30), BP33)*-1))</f>
        <v>76725.198447277566</v>
      </c>
      <c r="BF16" s="4">
        <f>BE16/(D14*D15)</f>
        <v>306.90079378911025</v>
      </c>
      <c r="BG16" s="1"/>
      <c r="BI16" s="1"/>
      <c r="BJ16" s="1"/>
      <c r="BK16" s="4"/>
      <c r="BL16" s="4"/>
      <c r="BM16" s="1"/>
      <c r="BN16" s="1"/>
      <c r="BO16" s="87" t="s">
        <v>73</v>
      </c>
      <c r="BP16" s="1">
        <v>5</v>
      </c>
      <c r="BQ16" s="1"/>
      <c r="BR16" s="1"/>
      <c r="BS16" s="1"/>
      <c r="BT16" s="1"/>
      <c r="BU16" s="1"/>
      <c r="BV16" s="88"/>
      <c r="BW16" s="1"/>
      <c r="BX16" s="1"/>
      <c r="BY16" s="1"/>
      <c r="BZ16" s="1"/>
      <c r="CA16" s="1"/>
      <c r="CB16" s="1"/>
      <c r="CC16" s="1"/>
      <c r="CD16" s="1"/>
      <c r="CE16" s="1"/>
      <c r="CF16" s="1"/>
      <c r="CG16" s="1"/>
      <c r="CH16" s="3" t="s">
        <v>123</v>
      </c>
      <c r="CI16" s="1"/>
      <c r="CJ16" s="1"/>
      <c r="CK16" s="1"/>
      <c r="CL16" s="1"/>
      <c r="CM16" s="1"/>
      <c r="CN16" s="1"/>
      <c r="CO16" s="1"/>
      <c r="CP16" s="1"/>
      <c r="CQ16" s="1"/>
      <c r="CR16" s="1"/>
      <c r="CS16" s="1"/>
      <c r="CT16" s="1"/>
      <c r="CU16" s="1"/>
      <c r="CV16" s="1"/>
      <c r="CW16" s="1"/>
      <c r="CX16" s="1"/>
      <c r="CY16" s="1"/>
      <c r="CZ16" s="1"/>
      <c r="DA16" s="1"/>
      <c r="DB16" s="1"/>
      <c r="DC16" s="1"/>
      <c r="DD16" s="1"/>
      <c r="DE16" s="1"/>
      <c r="DF16" s="1"/>
      <c r="DG16" s="1"/>
    </row>
    <row r="17" spans="1:111" x14ac:dyDescent="0.45">
      <c r="A17" s="52"/>
      <c r="B17" s="52"/>
      <c r="C17" s="52"/>
      <c r="D17" s="54"/>
      <c r="E17" s="52"/>
      <c r="F17" s="52"/>
      <c r="G17" s="52"/>
      <c r="H17" s="52"/>
      <c r="I17" s="71" t="s">
        <v>115</v>
      </c>
      <c r="J17" s="52"/>
      <c r="K17" s="73">
        <f>BD43*K15</f>
        <v>272.79999999999995</v>
      </c>
      <c r="L17" s="52"/>
      <c r="M17" s="52"/>
      <c r="N17" s="52"/>
      <c r="O17" s="52"/>
      <c r="P17" s="52"/>
      <c r="Q17" s="52"/>
      <c r="R17" s="52"/>
      <c r="S17" s="1"/>
      <c r="T17" s="1"/>
      <c r="U17" s="1"/>
      <c r="V17" s="1"/>
      <c r="W17" s="1"/>
      <c r="X17" s="1"/>
      <c r="Y17" s="1"/>
      <c r="Z17" s="1"/>
      <c r="AA17" s="1"/>
      <c r="AB17" s="1"/>
      <c r="AC17" s="1"/>
      <c r="AD17" s="1"/>
      <c r="AE17" s="1"/>
      <c r="AF17" s="1"/>
      <c r="AG17" s="1"/>
      <c r="AH17" s="1"/>
      <c r="AI17" s="1"/>
      <c r="AJ17" s="1"/>
      <c r="AK17" s="25"/>
      <c r="AL17" s="25"/>
      <c r="AM17" s="1"/>
      <c r="AN17" s="1"/>
      <c r="AO17" s="1"/>
      <c r="AP17" s="1"/>
      <c r="AQ17" s="1"/>
      <c r="AR17" s="1"/>
      <c r="AS17" s="1"/>
      <c r="AT17" s="1"/>
      <c r="AU17" s="1"/>
      <c r="AV17" s="1"/>
      <c r="AW17" s="1"/>
      <c r="AX17" s="1"/>
      <c r="AY17" s="1"/>
      <c r="AZ17" s="1"/>
      <c r="BA17" s="1"/>
      <c r="BB17" s="1"/>
      <c r="BC17" s="1"/>
      <c r="BD17" s="1" t="s">
        <v>4</v>
      </c>
      <c r="BE17" s="4">
        <f>D40</f>
        <v>13453.9</v>
      </c>
      <c r="BF17" s="4">
        <f>BE17/(D14*D15)</f>
        <v>53.815599999999996</v>
      </c>
      <c r="BG17" s="1"/>
      <c r="BH17" s="1"/>
      <c r="BI17" s="1"/>
      <c r="BJ17" s="1"/>
      <c r="BK17" s="4"/>
      <c r="BL17" s="4"/>
      <c r="BM17" s="1"/>
      <c r="BN17" s="1"/>
      <c r="BO17" s="87"/>
      <c r="BP17" s="1"/>
      <c r="BQ17" s="1"/>
      <c r="BR17" s="1"/>
      <c r="BS17" s="1"/>
      <c r="BT17" s="1"/>
      <c r="BU17" s="1"/>
      <c r="BV17" s="88"/>
      <c r="BW17" s="1"/>
      <c r="BX17" s="1"/>
      <c r="BY17" s="1"/>
      <c r="BZ17" s="1"/>
      <c r="CA17" s="1"/>
      <c r="CB17" s="1"/>
      <c r="CC17" s="1"/>
      <c r="CD17" s="1"/>
      <c r="CE17" s="1"/>
      <c r="CF17" s="1"/>
      <c r="CG17" s="1"/>
      <c r="CH17" s="1"/>
      <c r="CI17" s="1" t="s">
        <v>104</v>
      </c>
      <c r="CJ17" s="1"/>
      <c r="CK17" s="1"/>
      <c r="CL17" s="1"/>
      <c r="CM17" s="1"/>
      <c r="CN17" s="1"/>
      <c r="CO17" s="1"/>
      <c r="CP17" s="1"/>
      <c r="CQ17" s="1"/>
      <c r="CR17" s="1"/>
      <c r="CS17" s="1"/>
      <c r="CT17" s="1"/>
      <c r="CU17" s="1"/>
      <c r="CV17" s="1"/>
      <c r="CW17" s="1"/>
      <c r="CX17" s="1"/>
      <c r="CY17" s="1"/>
      <c r="CZ17" s="1"/>
      <c r="DA17" s="1"/>
      <c r="DB17" s="1"/>
      <c r="DC17" s="1"/>
      <c r="DD17" s="1"/>
      <c r="DE17" s="1"/>
      <c r="DF17" s="1"/>
      <c r="DG17" s="1"/>
    </row>
    <row r="18" spans="1:111" x14ac:dyDescent="0.45">
      <c r="A18" s="52" t="s">
        <v>120</v>
      </c>
      <c r="B18" s="52"/>
      <c r="C18" s="52"/>
      <c r="D18" s="53">
        <f>Simplified!D18</f>
        <v>28.5</v>
      </c>
      <c r="E18" s="52"/>
      <c r="F18" s="52"/>
      <c r="G18" s="52"/>
      <c r="H18" s="52"/>
      <c r="I18" s="71" t="s">
        <v>116</v>
      </c>
      <c r="J18" s="52"/>
      <c r="K18" s="73">
        <f>BE66</f>
        <v>10</v>
      </c>
      <c r="L18" s="52"/>
      <c r="M18" s="52"/>
      <c r="N18" s="52"/>
      <c r="O18" s="52"/>
      <c r="P18" s="52"/>
      <c r="Q18" s="52"/>
      <c r="R18" s="52"/>
      <c r="S18" s="1"/>
      <c r="T18" s="1"/>
      <c r="U18" s="1"/>
      <c r="V18" s="1"/>
      <c r="W18" s="1"/>
      <c r="X18" s="1"/>
      <c r="Y18" s="1"/>
      <c r="Z18" s="1"/>
      <c r="AA18" s="1"/>
      <c r="AB18" s="1"/>
      <c r="AC18" s="1"/>
      <c r="AD18" s="1"/>
      <c r="AE18" s="1"/>
      <c r="AF18" s="1"/>
      <c r="AG18" s="1"/>
      <c r="AH18" s="1" t="s">
        <v>120</v>
      </c>
      <c r="AI18" s="1"/>
      <c r="AJ18" s="1"/>
      <c r="AK18" s="25">
        <v>28.5</v>
      </c>
      <c r="AL18" s="25"/>
      <c r="AM18" s="1"/>
      <c r="AN18" s="1"/>
      <c r="AO18" s="1"/>
      <c r="AP18" s="1"/>
      <c r="AQ18" s="1"/>
      <c r="AR18" s="1"/>
      <c r="AS18" s="1"/>
      <c r="AT18" s="1"/>
      <c r="AU18" s="1"/>
      <c r="AV18" s="1"/>
      <c r="AW18" s="1"/>
      <c r="AX18" s="1"/>
      <c r="AY18" s="1"/>
      <c r="AZ18" s="1"/>
      <c r="BA18" s="1"/>
      <c r="BB18" s="1"/>
      <c r="BC18" s="1"/>
      <c r="BD18" s="1" t="s">
        <v>135</v>
      </c>
      <c r="BE18" s="4">
        <f>D41</f>
        <v>2598.27</v>
      </c>
      <c r="BF18" s="4">
        <f>BE18/(D14*D15)</f>
        <v>10.393079999999999</v>
      </c>
      <c r="BG18" s="1"/>
      <c r="BH18" s="1"/>
      <c r="BI18" s="1"/>
      <c r="BJ18" s="1"/>
      <c r="BK18" s="4"/>
      <c r="BL18" s="4"/>
      <c r="BM18" s="1"/>
      <c r="BN18" s="1"/>
      <c r="BO18" s="89" t="s">
        <v>11</v>
      </c>
      <c r="BP18" s="90" t="s">
        <v>102</v>
      </c>
      <c r="BQ18" s="1"/>
      <c r="BR18" s="3" t="s">
        <v>10</v>
      </c>
      <c r="BS18" s="90" t="s">
        <v>102</v>
      </c>
      <c r="BT18" s="1"/>
      <c r="BU18" s="3" t="s">
        <v>80</v>
      </c>
      <c r="BV18" s="98" t="s">
        <v>102</v>
      </c>
      <c r="BW18" s="1"/>
      <c r="BX18" s="3"/>
      <c r="BY18" s="3"/>
      <c r="BZ18" s="1"/>
      <c r="CA18" s="1"/>
      <c r="CB18" s="1"/>
      <c r="CC18" s="1"/>
      <c r="CD18" s="1"/>
      <c r="CE18" s="1"/>
      <c r="CF18" s="1"/>
      <c r="CG18" s="1"/>
      <c r="CH18" s="1" t="s">
        <v>105</v>
      </c>
      <c r="CI18" s="1" t="s">
        <v>106</v>
      </c>
      <c r="CJ18" s="1" t="s">
        <v>103</v>
      </c>
      <c r="CK18" s="1" t="s">
        <v>107</v>
      </c>
      <c r="CL18" s="1" t="s">
        <v>19</v>
      </c>
      <c r="CM18" s="1" t="s">
        <v>4</v>
      </c>
      <c r="CN18" s="1" t="s">
        <v>135</v>
      </c>
      <c r="CO18" s="1"/>
      <c r="CP18" s="1"/>
      <c r="CQ18" s="1"/>
      <c r="CR18" s="1"/>
      <c r="CS18" s="1"/>
      <c r="CT18" s="1"/>
      <c r="CU18" s="1"/>
      <c r="CV18" s="1"/>
      <c r="CW18" s="1"/>
      <c r="CX18" s="1"/>
      <c r="CY18" s="1"/>
      <c r="CZ18" s="1"/>
      <c r="DA18" s="1"/>
      <c r="DB18" s="1"/>
      <c r="DC18" s="1"/>
      <c r="DD18" s="1"/>
      <c r="DE18" s="1"/>
      <c r="DF18" s="1"/>
      <c r="DG18" s="1"/>
    </row>
    <row r="19" spans="1:111" x14ac:dyDescent="0.45">
      <c r="A19" s="52"/>
      <c r="B19" s="52"/>
      <c r="C19" s="52"/>
      <c r="D19" s="55"/>
      <c r="E19" s="52"/>
      <c r="F19" s="52"/>
      <c r="G19" s="52"/>
      <c r="H19" s="52"/>
      <c r="I19" s="52"/>
      <c r="J19" s="52"/>
      <c r="K19" s="52"/>
      <c r="L19" s="52"/>
      <c r="M19" s="52"/>
      <c r="N19" s="52"/>
      <c r="O19" s="52"/>
      <c r="P19" s="52"/>
      <c r="Q19" s="52"/>
      <c r="R19" s="52"/>
      <c r="S19" s="1"/>
      <c r="T19" s="1"/>
      <c r="U19" s="1"/>
      <c r="V19" s="1"/>
      <c r="W19" s="1"/>
      <c r="X19" s="1"/>
      <c r="Y19" s="1"/>
      <c r="Z19" s="1"/>
      <c r="AA19" s="1"/>
      <c r="AB19" s="1"/>
      <c r="AC19" s="1"/>
      <c r="AD19" s="1"/>
      <c r="AE19" s="1"/>
      <c r="AF19" s="1"/>
      <c r="AG19" s="1"/>
      <c r="AH19" s="1"/>
      <c r="AI19" s="1"/>
      <c r="AJ19" s="1"/>
      <c r="AK19" s="25"/>
      <c r="AL19" s="25"/>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87" t="s">
        <v>74</v>
      </c>
      <c r="BP19" s="103">
        <v>12637.64</v>
      </c>
      <c r="BQ19" s="1"/>
      <c r="BR19" s="1" t="s">
        <v>139</v>
      </c>
      <c r="BS19" s="1">
        <v>65112.34</v>
      </c>
      <c r="BT19" s="1"/>
      <c r="BU19" s="1" t="s">
        <v>81</v>
      </c>
      <c r="BV19" s="88">
        <v>28.5</v>
      </c>
      <c r="BW19" s="1"/>
      <c r="BX19" s="1"/>
      <c r="BY19" s="1"/>
      <c r="BZ19" s="6"/>
      <c r="CA19" s="1"/>
      <c r="CB19" s="1"/>
      <c r="CC19" s="1"/>
      <c r="CD19" s="1"/>
      <c r="CE19" s="1"/>
      <c r="CF19" s="1"/>
      <c r="CG19" s="1"/>
      <c r="CH19" s="1">
        <v>35</v>
      </c>
      <c r="CI19" s="1">
        <v>1</v>
      </c>
      <c r="CJ19" s="7">
        <v>1</v>
      </c>
      <c r="CK19" s="7">
        <v>20</v>
      </c>
      <c r="CL19" s="7">
        <v>3.5</v>
      </c>
      <c r="CM19" s="4">
        <v>1000</v>
      </c>
      <c r="CN19" s="18">
        <v>0</v>
      </c>
      <c r="CO19" s="1"/>
      <c r="CP19" s="1"/>
      <c r="CQ19" s="1"/>
      <c r="CR19" s="1"/>
      <c r="CS19" s="1"/>
      <c r="CT19" s="1"/>
      <c r="CU19" s="1"/>
      <c r="CV19" s="1"/>
      <c r="CW19" s="1"/>
      <c r="CX19" s="1"/>
      <c r="CY19" s="1"/>
      <c r="CZ19" s="1"/>
      <c r="DA19" s="1"/>
      <c r="DB19" s="1"/>
      <c r="DC19" s="1"/>
      <c r="DD19" s="1"/>
      <c r="DE19" s="1"/>
      <c r="DF19" s="1"/>
      <c r="DG19" s="1"/>
    </row>
    <row r="20" spans="1:111" x14ac:dyDescent="0.45">
      <c r="A20" s="52" t="s">
        <v>48</v>
      </c>
      <c r="B20" s="52"/>
      <c r="C20" s="52"/>
      <c r="D20" s="56">
        <f>Simplified!D20</f>
        <v>3.63</v>
      </c>
      <c r="E20" s="52"/>
      <c r="F20" s="52"/>
      <c r="G20" s="52"/>
      <c r="H20" s="52"/>
      <c r="I20" s="52"/>
      <c r="J20" s="52"/>
      <c r="K20" s="52"/>
      <c r="L20" s="52"/>
      <c r="M20" s="52"/>
      <c r="N20" s="52"/>
      <c r="O20" s="52"/>
      <c r="P20" s="52"/>
      <c r="Q20" s="52"/>
      <c r="R20" s="52"/>
      <c r="S20" s="1"/>
      <c r="T20" s="1"/>
      <c r="U20" s="1"/>
      <c r="V20" s="1"/>
      <c r="W20" s="1"/>
      <c r="X20" s="1"/>
      <c r="Y20" s="1"/>
      <c r="Z20" s="1"/>
      <c r="AA20" s="1"/>
      <c r="AB20" s="1"/>
      <c r="AC20" s="1"/>
      <c r="AD20" s="1"/>
      <c r="AE20" s="1"/>
      <c r="AF20" s="1"/>
      <c r="AG20" s="1"/>
      <c r="AH20" s="1" t="s">
        <v>48</v>
      </c>
      <c r="AI20" s="1"/>
      <c r="AJ20" s="1"/>
      <c r="AK20" s="25">
        <v>3.63</v>
      </c>
      <c r="AL20" s="25"/>
      <c r="AM20" s="1"/>
      <c r="AN20" s="1"/>
      <c r="AO20" s="1"/>
      <c r="AP20" s="1"/>
      <c r="AQ20" s="1"/>
      <c r="AR20" s="1"/>
      <c r="AS20" s="1"/>
      <c r="AT20" s="1"/>
      <c r="AU20" s="1"/>
      <c r="AV20" s="1"/>
      <c r="AW20" s="1"/>
      <c r="AX20" s="1"/>
      <c r="AY20" s="1"/>
      <c r="AZ20" s="1"/>
      <c r="BA20" s="1"/>
      <c r="BB20" s="1"/>
      <c r="BC20" s="1" t="s">
        <v>9</v>
      </c>
      <c r="BD20" s="1"/>
      <c r="BE20" s="8">
        <f>SUM(BE16:BE18)</f>
        <v>92777.368447277564</v>
      </c>
      <c r="BF20" s="8">
        <f>SUM(BF16:BF18)</f>
        <v>371.10947378911027</v>
      </c>
      <c r="BG20" s="1"/>
      <c r="BH20" s="1"/>
      <c r="BI20" s="1"/>
      <c r="BJ20" s="1"/>
      <c r="BK20" s="4"/>
      <c r="BL20" s="4"/>
      <c r="BM20" s="1"/>
      <c r="BN20" s="1"/>
      <c r="BO20" s="87" t="s">
        <v>75</v>
      </c>
      <c r="BP20" s="103">
        <v>4837.8</v>
      </c>
      <c r="BQ20" s="1"/>
      <c r="BR20" s="1" t="s">
        <v>140</v>
      </c>
      <c r="BS20" s="11">
        <f>BS19/BP14</f>
        <v>1302.2467999999999</v>
      </c>
      <c r="BT20" s="1"/>
      <c r="BU20" s="1" t="s">
        <v>83</v>
      </c>
      <c r="BV20" s="88">
        <v>5.41</v>
      </c>
      <c r="BW20" s="1"/>
      <c r="BX20" s="1"/>
      <c r="BY20" s="1"/>
      <c r="BZ20" s="6"/>
      <c r="CA20" s="1"/>
      <c r="CB20" s="1"/>
      <c r="CC20" s="1"/>
      <c r="CD20" s="1"/>
      <c r="CE20" s="1"/>
      <c r="CF20" s="1"/>
      <c r="CG20" s="1"/>
      <c r="CH20" s="1">
        <v>36</v>
      </c>
      <c r="CI20" s="1">
        <v>2</v>
      </c>
      <c r="CJ20" s="7">
        <v>1.5</v>
      </c>
      <c r="CK20" s="7">
        <v>20.5</v>
      </c>
      <c r="CL20" s="7">
        <v>4</v>
      </c>
      <c r="CM20" s="4">
        <v>1500</v>
      </c>
      <c r="CN20" s="4">
        <v>500</v>
      </c>
      <c r="CO20" s="1"/>
      <c r="CP20" s="1"/>
      <c r="CQ20" s="1"/>
      <c r="CR20" s="1"/>
      <c r="CS20" s="1"/>
      <c r="CT20" s="1"/>
      <c r="CU20" s="1"/>
      <c r="CV20" s="1"/>
      <c r="CW20" s="1"/>
      <c r="CX20" s="1"/>
      <c r="CY20" s="1"/>
      <c r="CZ20" s="1"/>
      <c r="DA20" s="1"/>
      <c r="DB20" s="1"/>
      <c r="DC20" s="1"/>
      <c r="DD20" s="1"/>
      <c r="DE20" s="1"/>
      <c r="DF20" s="1"/>
      <c r="DG20" s="1"/>
    </row>
    <row r="21" spans="1:111" x14ac:dyDescent="0.45">
      <c r="A21" s="52" t="s">
        <v>49</v>
      </c>
      <c r="B21" s="52"/>
      <c r="C21" s="52"/>
      <c r="D21" s="53">
        <f>Simplified!D21</f>
        <v>5.4</v>
      </c>
      <c r="E21" s="52"/>
      <c r="F21" s="52"/>
      <c r="G21" s="52"/>
      <c r="H21" s="52"/>
      <c r="I21" s="74" t="s">
        <v>132</v>
      </c>
      <c r="J21" s="52"/>
      <c r="K21" s="52"/>
      <c r="L21" s="52"/>
      <c r="M21" s="52"/>
      <c r="N21" s="52"/>
      <c r="O21" s="52"/>
      <c r="P21" s="52"/>
      <c r="Q21" s="52"/>
      <c r="R21" s="52"/>
      <c r="S21" s="1"/>
      <c r="T21" s="1"/>
      <c r="U21" s="1"/>
      <c r="V21" s="1"/>
      <c r="W21" s="1"/>
      <c r="X21" s="1"/>
      <c r="Y21" s="1"/>
      <c r="Z21" s="1"/>
      <c r="AA21" s="1"/>
      <c r="AB21" s="1"/>
      <c r="AC21" s="1"/>
      <c r="AD21" s="1"/>
      <c r="AE21" s="1"/>
      <c r="AF21" s="1"/>
      <c r="AG21" s="1"/>
      <c r="AH21" s="1" t="s">
        <v>49</v>
      </c>
      <c r="AI21" s="1"/>
      <c r="AJ21" s="1"/>
      <c r="AK21" s="25">
        <v>5.4</v>
      </c>
      <c r="AL21" s="25"/>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87" t="s">
        <v>2</v>
      </c>
      <c r="BP21" s="103">
        <v>54051.07</v>
      </c>
      <c r="BQ21" s="1"/>
      <c r="BR21" s="1" t="s">
        <v>141</v>
      </c>
      <c r="BS21" s="11">
        <f>BS20/BP16</f>
        <v>260.44935999999996</v>
      </c>
      <c r="BT21" s="1"/>
      <c r="BU21" s="1" t="s">
        <v>91</v>
      </c>
      <c r="BV21" s="88">
        <v>3.85</v>
      </c>
      <c r="BW21" s="1"/>
      <c r="BX21" s="1"/>
      <c r="BY21" s="1"/>
      <c r="BZ21" s="1"/>
      <c r="CA21" s="1"/>
      <c r="CB21" s="1"/>
      <c r="CC21" s="1"/>
      <c r="CD21" s="1"/>
      <c r="CE21" s="1"/>
      <c r="CF21" s="1"/>
      <c r="CG21" s="1"/>
      <c r="CH21" s="1">
        <v>37</v>
      </c>
      <c r="CI21" s="1">
        <v>3</v>
      </c>
      <c r="CJ21" s="7">
        <v>2</v>
      </c>
      <c r="CK21" s="7">
        <v>21</v>
      </c>
      <c r="CL21" s="7">
        <v>4.5</v>
      </c>
      <c r="CM21" s="4">
        <v>2000</v>
      </c>
      <c r="CN21" s="4">
        <v>1000</v>
      </c>
      <c r="CO21" s="1"/>
      <c r="CP21" s="1"/>
      <c r="CQ21" s="1"/>
      <c r="CR21" s="1"/>
      <c r="CS21" s="1"/>
      <c r="CT21" s="1"/>
      <c r="CU21" s="1"/>
      <c r="CV21" s="1"/>
      <c r="CW21" s="1"/>
      <c r="CX21" s="1"/>
      <c r="CY21" s="1"/>
      <c r="CZ21" s="1"/>
      <c r="DA21" s="1"/>
      <c r="DB21" s="1"/>
      <c r="DC21" s="1"/>
      <c r="DD21" s="1"/>
      <c r="DE21" s="1"/>
      <c r="DF21" s="1"/>
      <c r="DG21" s="1"/>
    </row>
    <row r="22" spans="1:111" x14ac:dyDescent="0.45">
      <c r="A22" s="52"/>
      <c r="B22" s="52"/>
      <c r="C22" s="52"/>
      <c r="D22" s="52"/>
      <c r="E22" s="52"/>
      <c r="F22" s="52"/>
      <c r="G22" s="52"/>
      <c r="H22" s="52"/>
      <c r="I22" s="52"/>
      <c r="J22" s="52"/>
      <c r="K22" s="52" t="s">
        <v>12</v>
      </c>
      <c r="L22" s="52" t="s">
        <v>6</v>
      </c>
      <c r="M22" s="52" t="s">
        <v>40</v>
      </c>
      <c r="N22" s="52" t="s">
        <v>179</v>
      </c>
      <c r="O22" s="52" t="s">
        <v>7</v>
      </c>
      <c r="P22" s="52" t="s">
        <v>8</v>
      </c>
      <c r="Q22" s="75" t="str">
        <f t="shared" ref="Q22:Q28" si="0">BJ23</f>
        <v>% of Cost</v>
      </c>
      <c r="R22" s="52"/>
      <c r="S22" s="1"/>
      <c r="T22" s="1"/>
      <c r="U22" s="1"/>
      <c r="V22" s="1"/>
      <c r="W22" s="1"/>
      <c r="X22" s="1"/>
      <c r="Y22" s="1"/>
      <c r="Z22" s="1"/>
      <c r="AA22" s="1"/>
      <c r="AB22" s="1"/>
      <c r="AC22" s="1"/>
      <c r="AD22" s="1"/>
      <c r="AE22" s="1"/>
      <c r="AF22" s="1"/>
      <c r="AG22" s="1"/>
      <c r="AH22" s="1"/>
      <c r="AI22" s="1"/>
      <c r="AJ22" s="1"/>
      <c r="AK22" s="1"/>
      <c r="AL22" s="25"/>
      <c r="AM22" s="25"/>
      <c r="AN22" s="1"/>
      <c r="AO22" s="1"/>
      <c r="AP22" s="1"/>
      <c r="AQ22" s="1"/>
      <c r="AR22" s="1"/>
      <c r="AS22" s="1"/>
      <c r="AT22" s="1"/>
      <c r="AU22" s="1"/>
      <c r="AV22" s="1"/>
      <c r="AW22" s="1"/>
      <c r="AX22" s="1"/>
      <c r="AY22" s="1"/>
      <c r="AZ22" s="1"/>
      <c r="BA22" s="1"/>
      <c r="BB22" s="1"/>
      <c r="BC22" s="9" t="s">
        <v>101</v>
      </c>
      <c r="BD22" s="1"/>
      <c r="BE22" s="1"/>
      <c r="BF22" s="1"/>
      <c r="BG22" s="1"/>
      <c r="BH22" s="1"/>
      <c r="BI22" s="1"/>
      <c r="BJ22" s="1"/>
      <c r="BK22" s="1"/>
      <c r="BL22" s="1"/>
      <c r="BM22" s="1"/>
      <c r="BN22" s="1"/>
      <c r="BO22" s="87" t="s">
        <v>76</v>
      </c>
      <c r="BP22" s="103">
        <v>13453.9</v>
      </c>
      <c r="BQ22" s="1"/>
      <c r="BR22" s="1" t="s">
        <v>142</v>
      </c>
      <c r="BS22" s="11">
        <f>BS21/BP15</f>
        <v>26.044935999999996</v>
      </c>
      <c r="BT22" s="1"/>
      <c r="BU22" s="1"/>
      <c r="BV22" s="88"/>
      <c r="BW22" s="1"/>
      <c r="BX22" s="1"/>
      <c r="BY22" s="1"/>
      <c r="BZ22" s="1"/>
      <c r="CA22" s="1"/>
      <c r="CB22" s="1"/>
      <c r="CC22" s="1"/>
      <c r="CD22" s="1"/>
      <c r="CE22" s="1"/>
      <c r="CF22" s="1"/>
      <c r="CG22" s="1"/>
      <c r="CH22" s="1">
        <v>38</v>
      </c>
      <c r="CI22" s="1">
        <v>4</v>
      </c>
      <c r="CJ22" s="7">
        <v>2.5</v>
      </c>
      <c r="CK22" s="7">
        <v>21.5</v>
      </c>
      <c r="CL22" s="7">
        <v>5</v>
      </c>
      <c r="CM22" s="4">
        <v>2500</v>
      </c>
      <c r="CN22" s="4">
        <v>1500</v>
      </c>
      <c r="CO22" s="1"/>
      <c r="CP22" s="1"/>
      <c r="CQ22" s="1"/>
      <c r="CR22" s="1"/>
      <c r="CS22" s="1"/>
      <c r="CT22" s="1"/>
      <c r="CU22" s="1"/>
      <c r="CV22" s="1"/>
      <c r="CW22" s="1"/>
      <c r="CX22" s="1"/>
      <c r="CY22" s="1"/>
      <c r="CZ22" s="1"/>
      <c r="DA22" s="1"/>
      <c r="DB22" s="1"/>
      <c r="DC22" s="1"/>
      <c r="DD22" s="1"/>
      <c r="DE22" s="1"/>
      <c r="DF22" s="1"/>
      <c r="DG22" s="1"/>
    </row>
    <row r="23" spans="1:111" x14ac:dyDescent="0.45">
      <c r="A23" s="52" t="s">
        <v>133</v>
      </c>
      <c r="B23" s="52"/>
      <c r="C23" s="52"/>
      <c r="D23" s="52"/>
      <c r="E23" s="31" t="s">
        <v>57</v>
      </c>
      <c r="F23" s="52"/>
      <c r="G23" s="52"/>
      <c r="H23" s="52"/>
      <c r="I23" s="52"/>
      <c r="J23" s="76" t="s">
        <v>43</v>
      </c>
      <c r="K23" s="77">
        <f t="shared" ref="K23:P23" si="1">BD24</f>
        <v>76725.198447277551</v>
      </c>
      <c r="L23" s="77">
        <f t="shared" si="1"/>
        <v>306.90079378911025</v>
      </c>
      <c r="M23" s="77">
        <f t="shared" si="1"/>
        <v>1.1250029097841288</v>
      </c>
      <c r="N23" s="77">
        <f t="shared" si="1"/>
        <v>0.42811057264890595</v>
      </c>
      <c r="O23" s="77">
        <f t="shared" si="1"/>
        <v>2.6921122262202655</v>
      </c>
      <c r="P23" s="77">
        <f t="shared" si="1"/>
        <v>6.7302805655506642E-2</v>
      </c>
      <c r="Q23" s="26">
        <f t="shared" si="0"/>
        <v>0.32164919366415695</v>
      </c>
      <c r="R23" s="52"/>
      <c r="S23" s="1"/>
      <c r="T23" s="1"/>
      <c r="U23" s="1"/>
      <c r="V23" s="1"/>
      <c r="W23" s="1"/>
      <c r="X23" s="1"/>
      <c r="Y23" s="1"/>
      <c r="Z23" s="1"/>
      <c r="AA23" s="1"/>
      <c r="AB23" s="1"/>
      <c r="AC23" s="1"/>
      <c r="AD23" s="1"/>
      <c r="AE23" s="1"/>
      <c r="AF23" s="1"/>
      <c r="AG23" s="1"/>
      <c r="AH23" s="1" t="s">
        <v>133</v>
      </c>
      <c r="AI23" s="1"/>
      <c r="AJ23" s="1"/>
      <c r="AK23" s="25"/>
      <c r="AL23" s="25" t="s">
        <v>57</v>
      </c>
      <c r="AM23" s="1"/>
      <c r="AN23" s="1"/>
      <c r="AO23" s="1"/>
      <c r="AP23" s="1"/>
      <c r="AQ23" s="1"/>
      <c r="AR23" s="1"/>
      <c r="AS23" s="1"/>
      <c r="AT23" s="1"/>
      <c r="AU23" s="1"/>
      <c r="AV23" s="1"/>
      <c r="AW23" s="1"/>
      <c r="AX23" s="1"/>
      <c r="AY23" s="1"/>
      <c r="AZ23" s="1"/>
      <c r="BA23" s="1"/>
      <c r="BB23" s="1"/>
      <c r="BC23" s="1"/>
      <c r="BD23" s="1" t="s">
        <v>12</v>
      </c>
      <c r="BE23" s="1" t="s">
        <v>6</v>
      </c>
      <c r="BF23" s="1" t="s">
        <v>40</v>
      </c>
      <c r="BG23" s="1" t="s">
        <v>179</v>
      </c>
      <c r="BH23" s="1" t="s">
        <v>7</v>
      </c>
      <c r="BI23" s="1" t="s">
        <v>8</v>
      </c>
      <c r="BJ23" s="1" t="s">
        <v>149</v>
      </c>
      <c r="BK23" s="1"/>
      <c r="BL23" s="1"/>
      <c r="BM23" s="1"/>
      <c r="BN23" s="1"/>
      <c r="BO23" s="87" t="s">
        <v>77</v>
      </c>
      <c r="BP23" s="103">
        <v>21723.52</v>
      </c>
      <c r="BQ23" s="1"/>
      <c r="BR23" s="1" t="s">
        <v>96</v>
      </c>
      <c r="BS23" s="1">
        <v>29.12</v>
      </c>
      <c r="BT23" s="1">
        <f>4687.5/D15/D16</f>
        <v>93.75</v>
      </c>
      <c r="BU23" s="1" t="s">
        <v>194</v>
      </c>
      <c r="BV23" s="88"/>
      <c r="BW23" s="1"/>
      <c r="BX23" s="1"/>
      <c r="BY23" s="1"/>
      <c r="BZ23" s="1"/>
      <c r="CA23" s="1"/>
      <c r="CB23" s="1"/>
      <c r="CC23" s="1"/>
      <c r="CD23" s="1"/>
      <c r="CE23" s="1"/>
      <c r="CF23" s="1"/>
      <c r="CG23" s="1"/>
      <c r="CH23" s="1">
        <v>39</v>
      </c>
      <c r="CI23" s="1">
        <v>5</v>
      </c>
      <c r="CJ23" s="7">
        <v>3</v>
      </c>
      <c r="CK23" s="7">
        <v>22</v>
      </c>
      <c r="CL23" s="7">
        <v>5.5</v>
      </c>
      <c r="CM23" s="4">
        <v>3000</v>
      </c>
      <c r="CN23" s="4">
        <v>2000</v>
      </c>
      <c r="CO23" s="1"/>
      <c r="CP23" s="1"/>
      <c r="CQ23" s="1"/>
      <c r="CR23" s="1"/>
      <c r="CS23" s="10"/>
      <c r="CT23" s="1"/>
      <c r="CU23" s="10"/>
      <c r="CV23" s="1"/>
      <c r="CW23" s="10"/>
      <c r="CX23" s="1"/>
      <c r="CY23" s="1"/>
      <c r="CZ23" s="1"/>
      <c r="DA23" s="1"/>
      <c r="DB23" s="1"/>
      <c r="DC23" s="1"/>
      <c r="DD23" s="1"/>
      <c r="DE23" s="1"/>
      <c r="DF23" s="1"/>
      <c r="DG23" s="1"/>
    </row>
    <row r="24" spans="1:111" x14ac:dyDescent="0.45">
      <c r="A24" s="52" t="s">
        <v>127</v>
      </c>
      <c r="B24" s="52"/>
      <c r="C24" s="52"/>
      <c r="D24" s="52"/>
      <c r="E24" s="50">
        <v>5.19</v>
      </c>
      <c r="F24" s="52"/>
      <c r="G24" s="52"/>
      <c r="H24" s="52"/>
      <c r="I24" s="52"/>
      <c r="J24" s="76" t="s">
        <v>44</v>
      </c>
      <c r="K24" s="77">
        <f>BD25</f>
        <v>1160</v>
      </c>
      <c r="L24" s="77">
        <f>BE25</f>
        <v>4.6399999999999997</v>
      </c>
      <c r="M24" s="77">
        <f>BF25</f>
        <v>1.7008797653958945E-2</v>
      </c>
      <c r="N24" s="77">
        <f t="shared" ref="N24:N28" si="2">BG25</f>
        <v>6.4725575732981636E-3</v>
      </c>
      <c r="O24" s="77">
        <f>BH25</f>
        <v>4.0701754385964913E-2</v>
      </c>
      <c r="P24" s="77">
        <f>BI25</f>
        <v>1.0175438596491228E-3</v>
      </c>
      <c r="Q24" s="26">
        <f t="shared" si="0"/>
        <v>4.862979466997536E-3</v>
      </c>
      <c r="R24" s="52"/>
      <c r="S24" s="11"/>
      <c r="T24" s="11"/>
      <c r="U24" s="11"/>
      <c r="V24" s="1"/>
      <c r="W24" s="1"/>
      <c r="X24" s="1"/>
      <c r="Y24" s="1"/>
      <c r="Z24" s="1"/>
      <c r="AA24" s="1"/>
      <c r="AB24" s="1"/>
      <c r="AC24" s="1"/>
      <c r="AD24" s="1"/>
      <c r="AE24" s="1"/>
      <c r="AF24" s="1"/>
      <c r="AG24" s="1"/>
      <c r="AH24" s="1" t="s">
        <v>127</v>
      </c>
      <c r="AI24" s="1"/>
      <c r="AJ24" s="1"/>
      <c r="AK24" s="25"/>
      <c r="AL24" s="25">
        <v>5.19</v>
      </c>
      <c r="AM24" s="1"/>
      <c r="AN24" s="1"/>
      <c r="AO24" s="1"/>
      <c r="AP24" s="1"/>
      <c r="AQ24" s="1"/>
      <c r="AR24" s="1"/>
      <c r="AS24" s="1"/>
      <c r="AT24" s="1"/>
      <c r="AU24" s="1"/>
      <c r="AV24" s="1"/>
      <c r="AW24" s="1"/>
      <c r="AX24" s="1"/>
      <c r="AY24" s="1"/>
      <c r="AZ24" s="1"/>
      <c r="BA24" s="1"/>
      <c r="BB24" s="1"/>
      <c r="BC24" s="1" t="s">
        <v>43</v>
      </c>
      <c r="BD24" s="4">
        <f>BE24*$D$15*$D$14</f>
        <v>76725.198447277551</v>
      </c>
      <c r="BE24" s="4">
        <f>BF16</f>
        <v>306.90079378911025</v>
      </c>
      <c r="BF24" s="4">
        <f t="shared" ref="BF24:BF32" si="3">BE24/($BD$43*$BE$60)</f>
        <v>1.1250029097841288</v>
      </c>
      <c r="BG24" s="4">
        <f t="shared" ref="BG24:BG32" si="4">BE24/(($BF$53*$K$15))</f>
        <v>0.42811057264890595</v>
      </c>
      <c r="BH24" s="4">
        <f>BE24/$BE$36</f>
        <v>2.6921122262202655</v>
      </c>
      <c r="BI24" s="12">
        <f t="shared" ref="BI24:BI32" si="5">BH24/MAX($D$62,SUM($BD$39:$BD$40))</f>
        <v>6.7302805655506642E-2</v>
      </c>
      <c r="BJ24" s="22">
        <f t="shared" ref="BJ24:BJ32" si="6">BE24/$BE$34</f>
        <v>0.32164919366415695</v>
      </c>
      <c r="BK24" s="1"/>
      <c r="BL24" s="1"/>
      <c r="BM24" s="1"/>
      <c r="BN24" s="1"/>
      <c r="BO24" s="87" t="s">
        <v>78</v>
      </c>
      <c r="BP24" s="103">
        <v>522.73</v>
      </c>
      <c r="BQ24" s="1"/>
      <c r="BR24" s="1" t="s">
        <v>143</v>
      </c>
      <c r="BS24" s="1">
        <f>AVERAGE(1.15,3.75)</f>
        <v>2.4500000000000002</v>
      </c>
      <c r="BT24" s="1"/>
      <c r="BU24" s="1"/>
      <c r="BV24" s="88">
        <v>0.15</v>
      </c>
      <c r="BW24" s="1"/>
      <c r="BX24" s="5"/>
      <c r="BY24" s="1"/>
      <c r="BZ24" s="1"/>
      <c r="CA24" s="1"/>
      <c r="CB24" s="1"/>
      <c r="CC24" s="1"/>
      <c r="CD24" s="1"/>
      <c r="CE24" s="1"/>
      <c r="CF24" s="1"/>
      <c r="CG24" s="1"/>
      <c r="CH24" s="1">
        <v>40</v>
      </c>
      <c r="CI24" s="1">
        <v>6</v>
      </c>
      <c r="CJ24" s="7">
        <v>3.5</v>
      </c>
      <c r="CK24" s="7">
        <v>22.5</v>
      </c>
      <c r="CL24" s="7">
        <v>6</v>
      </c>
      <c r="CM24" s="4">
        <v>3500</v>
      </c>
      <c r="CN24" s="4">
        <v>2500</v>
      </c>
      <c r="CO24" s="1"/>
      <c r="CP24" s="1"/>
      <c r="CQ24" s="1"/>
      <c r="CR24" s="1"/>
      <c r="CS24" s="1"/>
      <c r="CT24" s="1"/>
      <c r="CU24" s="1"/>
      <c r="CV24" s="1"/>
      <c r="CW24" s="1"/>
      <c r="CX24" s="1"/>
      <c r="CY24" s="1"/>
      <c r="CZ24" s="1"/>
      <c r="DA24" s="1"/>
      <c r="DB24" s="1"/>
      <c r="DC24" s="1"/>
      <c r="DD24" s="1"/>
      <c r="DE24" s="1"/>
      <c r="DF24" s="1"/>
      <c r="DG24" s="1"/>
    </row>
    <row r="25" spans="1:111" x14ac:dyDescent="0.45">
      <c r="A25" s="52" t="s">
        <v>128</v>
      </c>
      <c r="B25" s="52"/>
      <c r="C25" s="52"/>
      <c r="D25" s="52"/>
      <c r="E25" s="50">
        <v>5.46</v>
      </c>
      <c r="F25" s="52"/>
      <c r="G25" s="52"/>
      <c r="H25" s="52"/>
      <c r="I25" s="52"/>
      <c r="J25" s="76" t="str">
        <f>BC26</f>
        <v>Permits/Taxes</v>
      </c>
      <c r="K25" s="77">
        <f t="shared" ref="K25:M25" si="7">BD26</f>
        <v>2598.27</v>
      </c>
      <c r="L25" s="77">
        <f t="shared" si="7"/>
        <v>10.393079999999999</v>
      </c>
      <c r="M25" s="77">
        <f t="shared" si="7"/>
        <v>3.8097800586510265E-2</v>
      </c>
      <c r="N25" s="77">
        <f t="shared" si="2"/>
        <v>1.4497803591356396E-2</v>
      </c>
      <c r="O25" s="77">
        <f>BI26</f>
        <v>2.2791842105263156E-3</v>
      </c>
      <c r="P25" s="77">
        <f>BJ26</f>
        <v>1.0892529016996283E-2</v>
      </c>
      <c r="Q25" s="26">
        <f t="shared" si="0"/>
        <v>1.0892529016996283E-2</v>
      </c>
      <c r="R25" s="52"/>
      <c r="S25" s="11"/>
      <c r="T25" s="11"/>
      <c r="U25" s="11"/>
      <c r="V25" s="1"/>
      <c r="W25" s="1"/>
      <c r="X25" s="1"/>
      <c r="Y25" s="1"/>
      <c r="Z25" s="1"/>
      <c r="AA25" s="1"/>
      <c r="AB25" s="1"/>
      <c r="AC25" s="1"/>
      <c r="AD25" s="1"/>
      <c r="AE25" s="1"/>
      <c r="AF25" s="1"/>
      <c r="AG25" s="1"/>
      <c r="AH25" s="1" t="s">
        <v>128</v>
      </c>
      <c r="AI25" s="1"/>
      <c r="AJ25" s="1"/>
      <c r="AK25" s="25"/>
      <c r="AL25" s="25">
        <v>5.46</v>
      </c>
      <c r="AM25" s="1"/>
      <c r="AN25" s="1"/>
      <c r="AO25" s="1"/>
      <c r="AP25" s="1"/>
      <c r="AQ25" s="1"/>
      <c r="AR25" s="1"/>
      <c r="AS25" s="1"/>
      <c r="AT25" s="1"/>
      <c r="AU25" s="1"/>
      <c r="AV25" s="1"/>
      <c r="AW25" s="1"/>
      <c r="AX25" s="1"/>
      <c r="AY25" s="1"/>
      <c r="AZ25" s="1"/>
      <c r="BA25" s="1"/>
      <c r="BB25" s="1"/>
      <c r="BC25" s="1" t="s">
        <v>44</v>
      </c>
      <c r="BD25" s="4">
        <f>(IF(E37&gt;1000,E37,(IF(D36="Plantation",BP37,IF(D36="4-Bolster",BP38,IF(D36="Pole",BP39,IF(D36="Chip Van",BP40,IF(D36="Other/Combination",BP41,0))))))))/(IF(ISNUMBER(E38),E38,BP42))</f>
        <v>1160</v>
      </c>
      <c r="BE25" s="4">
        <f>BD25/D14/D15</f>
        <v>4.6399999999999997</v>
      </c>
      <c r="BF25" s="4">
        <f t="shared" si="3"/>
        <v>1.7008797653958945E-2</v>
      </c>
      <c r="BG25" s="4">
        <f t="shared" si="4"/>
        <v>6.4725575732981636E-3</v>
      </c>
      <c r="BH25" s="4">
        <f t="shared" ref="BH25:BH32" si="8">BE25/$BE$36</f>
        <v>4.0701754385964913E-2</v>
      </c>
      <c r="BI25" s="12">
        <f t="shared" si="5"/>
        <v>1.0175438596491228E-3</v>
      </c>
      <c r="BJ25" s="22">
        <f t="shared" si="6"/>
        <v>4.862979466997536E-3</v>
      </c>
      <c r="BK25" s="1"/>
      <c r="BL25" s="1"/>
      <c r="BM25" s="1"/>
      <c r="BN25" s="1"/>
      <c r="BO25" s="87" t="s">
        <v>79</v>
      </c>
      <c r="BP25" s="103">
        <v>2598.27</v>
      </c>
      <c r="BQ25" s="1"/>
      <c r="BR25" s="1" t="s">
        <v>144</v>
      </c>
      <c r="BS25" s="1">
        <f>AVERAGE(70,60,60,66,90)</f>
        <v>69.2</v>
      </c>
      <c r="BT25" s="1"/>
      <c r="BU25" s="1" t="s">
        <v>208</v>
      </c>
      <c r="BV25" s="88"/>
      <c r="BW25" s="1"/>
      <c r="BX25" s="1"/>
      <c r="BY25" s="1"/>
      <c r="BZ25" s="6"/>
      <c r="CA25" s="1"/>
      <c r="CB25" s="1"/>
      <c r="CC25" s="1"/>
      <c r="CD25" s="1"/>
      <c r="CE25" s="1"/>
      <c r="CF25" s="1"/>
      <c r="CG25" s="1"/>
      <c r="CH25" s="1">
        <v>41</v>
      </c>
      <c r="CI25" s="1">
        <v>7</v>
      </c>
      <c r="CJ25" s="7">
        <v>4</v>
      </c>
      <c r="CK25" s="7">
        <v>23</v>
      </c>
      <c r="CL25" s="7">
        <v>6.5</v>
      </c>
      <c r="CM25" s="4">
        <v>4000</v>
      </c>
      <c r="CN25" s="4">
        <v>3000</v>
      </c>
      <c r="CO25" s="1"/>
      <c r="CP25" s="1"/>
      <c r="CQ25" s="1"/>
      <c r="CR25" s="1"/>
      <c r="CS25" s="105"/>
      <c r="CT25" s="1"/>
      <c r="CU25" s="1"/>
      <c r="CV25" s="25"/>
      <c r="CW25" s="1"/>
      <c r="CX25" s="1"/>
      <c r="CY25" s="1"/>
      <c r="CZ25" s="1"/>
      <c r="DA25" s="1"/>
      <c r="DB25" s="1"/>
      <c r="DC25" s="1"/>
      <c r="DD25" s="1"/>
      <c r="DE25" s="1"/>
      <c r="DF25" s="1"/>
      <c r="DG25" s="1"/>
    </row>
    <row r="26" spans="1:111" x14ac:dyDescent="0.45">
      <c r="A26" s="52" t="s">
        <v>129</v>
      </c>
      <c r="B26" s="52"/>
      <c r="C26" s="52"/>
      <c r="D26" s="52"/>
      <c r="E26" s="50">
        <v>6.22</v>
      </c>
      <c r="F26" s="52"/>
      <c r="G26" s="52"/>
      <c r="H26" s="52"/>
      <c r="I26" s="52"/>
      <c r="J26" s="76" t="s">
        <v>4</v>
      </c>
      <c r="K26" s="77">
        <f t="shared" ref="K26:M28" si="9">BD27</f>
        <v>13453.9</v>
      </c>
      <c r="L26" s="77">
        <f t="shared" si="9"/>
        <v>53.815599999999996</v>
      </c>
      <c r="M26" s="77">
        <f t="shared" si="9"/>
        <v>0.19727126099706746</v>
      </c>
      <c r="N26" s="77">
        <f t="shared" si="2"/>
        <v>7.5069950289134615E-2</v>
      </c>
      <c r="O26" s="77">
        <f t="shared" ref="O26:P28" si="10">BH27</f>
        <v>0.47206666666666663</v>
      </c>
      <c r="P26" s="77">
        <f>BI27</f>
        <v>1.1801666666666665E-2</v>
      </c>
      <c r="Q26" s="26">
        <f t="shared" si="0"/>
        <v>5.6401758147446676E-2</v>
      </c>
      <c r="R26" s="52"/>
      <c r="S26" s="11"/>
      <c r="T26" s="11"/>
      <c r="U26" s="11"/>
      <c r="V26" s="1"/>
      <c r="W26" s="1"/>
      <c r="X26" s="1"/>
      <c r="Y26" s="1"/>
      <c r="Z26" s="1"/>
      <c r="AA26" s="1"/>
      <c r="AB26" s="1"/>
      <c r="AC26" s="1"/>
      <c r="AD26" s="1"/>
      <c r="AE26" s="1"/>
      <c r="AF26" s="1"/>
      <c r="AG26" s="1"/>
      <c r="AH26" s="1" t="s">
        <v>129</v>
      </c>
      <c r="AI26" s="1"/>
      <c r="AJ26" s="1"/>
      <c r="AK26" s="25"/>
      <c r="AL26" s="25">
        <v>6.22</v>
      </c>
      <c r="AM26" s="1"/>
      <c r="AN26" s="1"/>
      <c r="AO26" s="1"/>
      <c r="AP26" s="1"/>
      <c r="AQ26" s="1"/>
      <c r="AR26" s="1"/>
      <c r="AS26" s="1"/>
      <c r="AT26" s="1"/>
      <c r="AU26" s="1"/>
      <c r="AV26" s="1"/>
      <c r="AW26" s="1"/>
      <c r="AX26" s="1"/>
      <c r="AY26" s="1"/>
      <c r="AZ26" s="1"/>
      <c r="BA26" s="1"/>
      <c r="BB26" s="1"/>
      <c r="BC26" s="1" t="s">
        <v>135</v>
      </c>
      <c r="BD26" s="4">
        <f>BE18</f>
        <v>2598.27</v>
      </c>
      <c r="BE26" s="4">
        <f>BF18</f>
        <v>10.393079999999999</v>
      </c>
      <c r="BF26" s="4">
        <f t="shared" si="3"/>
        <v>3.8097800586510265E-2</v>
      </c>
      <c r="BG26" s="4">
        <f t="shared" si="4"/>
        <v>1.4497803591356396E-2</v>
      </c>
      <c r="BH26" s="4">
        <f t="shared" si="8"/>
        <v>9.1167368421052622E-2</v>
      </c>
      <c r="BI26" s="12">
        <f t="shared" si="5"/>
        <v>2.2791842105263156E-3</v>
      </c>
      <c r="BJ26" s="22">
        <f t="shared" si="6"/>
        <v>1.0892529016996283E-2</v>
      </c>
      <c r="BK26" s="1"/>
      <c r="BL26" s="1"/>
      <c r="BM26" s="1"/>
      <c r="BN26" s="1"/>
      <c r="BO26" s="87" t="s">
        <v>80</v>
      </c>
      <c r="BP26" s="103">
        <v>3002.3</v>
      </c>
      <c r="BQ26" s="1"/>
      <c r="BR26" s="1"/>
      <c r="BS26" s="1"/>
      <c r="BT26" s="1"/>
      <c r="BU26" s="1"/>
      <c r="BV26" s="110">
        <v>71125</v>
      </c>
      <c r="BW26" s="1"/>
      <c r="BX26" s="1"/>
      <c r="BY26" s="1"/>
      <c r="BZ26" s="1"/>
      <c r="CA26" s="1"/>
      <c r="CB26" s="1"/>
      <c r="CC26" s="1"/>
      <c r="CD26" s="1"/>
      <c r="CE26" s="1"/>
      <c r="CF26" s="1"/>
      <c r="CG26" s="1"/>
      <c r="CH26" s="1">
        <v>42</v>
      </c>
      <c r="CI26" s="1"/>
      <c r="CJ26" s="7">
        <v>4.5</v>
      </c>
      <c r="CK26" s="7">
        <v>23.5</v>
      </c>
      <c r="CL26" s="7">
        <v>7</v>
      </c>
      <c r="CM26" s="4">
        <v>4500</v>
      </c>
      <c r="CN26" s="4">
        <v>3500</v>
      </c>
      <c r="CO26" s="1"/>
      <c r="CP26" s="1"/>
      <c r="CQ26" s="1"/>
      <c r="CR26" s="1"/>
      <c r="CS26" s="1"/>
      <c r="CT26" s="1"/>
      <c r="CU26" s="1"/>
      <c r="CV26" s="1"/>
      <c r="CW26" s="1"/>
      <c r="CX26" s="1"/>
      <c r="CY26" s="1"/>
      <c r="CZ26" s="1"/>
      <c r="DA26" s="1"/>
      <c r="DB26" s="1"/>
      <c r="DC26" s="1"/>
      <c r="DD26" s="1"/>
      <c r="DE26" s="1"/>
      <c r="DF26" s="1"/>
      <c r="DG26" s="1"/>
    </row>
    <row r="27" spans="1:111" x14ac:dyDescent="0.45">
      <c r="A27" s="52" t="s">
        <v>130</v>
      </c>
      <c r="B27" s="52"/>
      <c r="C27" s="52"/>
      <c r="D27" s="52"/>
      <c r="E27" s="50">
        <v>6.08</v>
      </c>
      <c r="F27" s="52"/>
      <c r="G27" s="52"/>
      <c r="H27" s="52"/>
      <c r="I27" s="52"/>
      <c r="J27" s="76" t="s">
        <v>10</v>
      </c>
      <c r="K27" s="77">
        <f t="shared" si="9"/>
        <v>74865</v>
      </c>
      <c r="L27" s="77">
        <f t="shared" si="9"/>
        <v>299.45999999999998</v>
      </c>
      <c r="M27" s="77">
        <f t="shared" si="9"/>
        <v>1.0977272727272729</v>
      </c>
      <c r="N27" s="77">
        <f t="shared" si="2"/>
        <v>0.4177310540732474</v>
      </c>
      <c r="O27" s="77">
        <f t="shared" si="10"/>
        <v>2.6268421052631576</v>
      </c>
      <c r="P27" s="77">
        <f t="shared" si="10"/>
        <v>6.5671052631578936E-2</v>
      </c>
      <c r="Q27" s="26">
        <f t="shared" si="0"/>
        <v>0.31385082568687112</v>
      </c>
      <c r="R27" s="52"/>
      <c r="S27" s="11"/>
      <c r="T27" s="11"/>
      <c r="U27" s="11"/>
      <c r="V27" s="1"/>
      <c r="W27" s="1"/>
      <c r="X27" s="1"/>
      <c r="Y27" s="1"/>
      <c r="Z27" s="1"/>
      <c r="AA27" s="1"/>
      <c r="AB27" s="1"/>
      <c r="AC27" s="1"/>
      <c r="AD27" s="1"/>
      <c r="AE27" s="1"/>
      <c r="AF27" s="1"/>
      <c r="AG27" s="1"/>
      <c r="AH27" s="1" t="s">
        <v>130</v>
      </c>
      <c r="AI27" s="1"/>
      <c r="AJ27" s="1"/>
      <c r="AK27" s="25"/>
      <c r="AL27" s="25">
        <v>6.08</v>
      </c>
      <c r="AM27" s="1"/>
      <c r="AN27" s="1"/>
      <c r="AO27" s="1"/>
      <c r="AP27" s="1"/>
      <c r="AQ27" s="1"/>
      <c r="AR27" s="1"/>
      <c r="AS27" s="1"/>
      <c r="AT27" s="1"/>
      <c r="AU27" s="1"/>
      <c r="AV27" s="1"/>
      <c r="AW27" s="1"/>
      <c r="AX27" s="1"/>
      <c r="AY27" s="1"/>
      <c r="AZ27" s="1"/>
      <c r="BA27" s="1"/>
      <c r="BB27" s="1"/>
      <c r="BC27" s="1" t="s">
        <v>4</v>
      </c>
      <c r="BD27" s="4">
        <f>BE17</f>
        <v>13453.9</v>
      </c>
      <c r="BE27" s="4">
        <f>BF17</f>
        <v>53.815599999999996</v>
      </c>
      <c r="BF27" s="4">
        <f t="shared" si="3"/>
        <v>0.19727126099706746</v>
      </c>
      <c r="BG27" s="4">
        <f t="shared" si="4"/>
        <v>7.5069950289134615E-2</v>
      </c>
      <c r="BH27" s="4">
        <f t="shared" si="8"/>
        <v>0.47206666666666663</v>
      </c>
      <c r="BI27" s="12">
        <f t="shared" si="5"/>
        <v>1.1801666666666665E-2</v>
      </c>
      <c r="BJ27" s="22">
        <f t="shared" si="6"/>
        <v>5.6401758147446676E-2</v>
      </c>
      <c r="BK27" s="1"/>
      <c r="BL27" s="1"/>
      <c r="BM27" s="1"/>
      <c r="BN27" s="1"/>
      <c r="BO27" s="91" t="s">
        <v>9</v>
      </c>
      <c r="BP27" s="103">
        <f>SUM(BP19:BP26)</f>
        <v>112827.23</v>
      </c>
      <c r="BQ27" s="1"/>
      <c r="BR27" s="1"/>
      <c r="BS27" s="1"/>
      <c r="BT27" s="1"/>
      <c r="BU27" s="1"/>
      <c r="BV27" s="88"/>
      <c r="BW27" s="1"/>
      <c r="BX27" s="5"/>
      <c r="BY27" s="1"/>
      <c r="BZ27" s="1"/>
      <c r="CA27" s="1"/>
      <c r="CB27" s="1"/>
      <c r="CC27" s="1"/>
      <c r="CD27" s="1"/>
      <c r="CE27" s="1"/>
      <c r="CF27" s="1"/>
      <c r="CG27" s="1"/>
      <c r="CH27" s="1">
        <v>43</v>
      </c>
      <c r="CI27" s="1"/>
      <c r="CJ27" s="7">
        <v>5</v>
      </c>
      <c r="CK27" s="7">
        <v>24</v>
      </c>
      <c r="CL27" s="7">
        <v>7.5</v>
      </c>
      <c r="CM27" s="4">
        <v>5000</v>
      </c>
      <c r="CN27" s="4">
        <v>4000</v>
      </c>
      <c r="CO27" s="1"/>
      <c r="CP27" s="1"/>
      <c r="CQ27" s="1"/>
      <c r="CR27" s="1"/>
      <c r="CS27" s="1"/>
      <c r="CT27" s="1"/>
      <c r="CU27" s="1"/>
      <c r="CV27" s="1"/>
      <c r="CW27" s="1"/>
      <c r="CX27" s="1"/>
      <c r="CY27" s="1"/>
      <c r="CZ27" s="1"/>
      <c r="DA27" s="1"/>
      <c r="DB27" s="1"/>
      <c r="DC27" s="1"/>
      <c r="DD27" s="1"/>
      <c r="DE27" s="1"/>
      <c r="DF27" s="1"/>
      <c r="DG27" s="1"/>
    </row>
    <row r="28" spans="1:111" x14ac:dyDescent="0.45">
      <c r="A28" s="52"/>
      <c r="B28" s="52"/>
      <c r="C28" s="52"/>
      <c r="D28" s="52"/>
      <c r="E28" s="1"/>
      <c r="F28" s="52"/>
      <c r="G28"/>
      <c r="H28" s="52"/>
      <c r="I28" s="52"/>
      <c r="J28" s="76" t="s">
        <v>2</v>
      </c>
      <c r="K28" s="77">
        <f t="shared" si="9"/>
        <v>45845.555555555555</v>
      </c>
      <c r="L28" s="77">
        <f t="shared" si="9"/>
        <v>183.3822222222222</v>
      </c>
      <c r="M28" s="77">
        <f t="shared" si="9"/>
        <v>0.67222222222222228</v>
      </c>
      <c r="N28" s="77">
        <f t="shared" si="2"/>
        <v>0.25580861880445926</v>
      </c>
      <c r="O28" s="77">
        <f t="shared" si="10"/>
        <v>1.6086159844054579</v>
      </c>
      <c r="P28" s="77">
        <f t="shared" si="10"/>
        <v>4.0215399610136447E-2</v>
      </c>
      <c r="Q28" s="26">
        <f t="shared" si="0"/>
        <v>0.19219482355151851</v>
      </c>
      <c r="R28" s="52"/>
      <c r="S28" s="11"/>
      <c r="T28" s="11"/>
      <c r="U28" s="11"/>
      <c r="V28" s="1"/>
      <c r="W28" s="1"/>
      <c r="X28" s="1"/>
      <c r="Y28" s="1"/>
      <c r="Z28" s="1"/>
      <c r="AA28" s="1"/>
      <c r="AB28" s="1"/>
      <c r="AC28" s="1"/>
      <c r="AD28" s="1"/>
      <c r="AE28" s="1"/>
      <c r="AF28" s="1"/>
      <c r="AG28" s="1"/>
      <c r="AH28" s="1"/>
      <c r="AI28" s="1"/>
      <c r="AJ28" s="1"/>
      <c r="AK28" s="25"/>
      <c r="AL28" s="25"/>
      <c r="AM28" s="1"/>
      <c r="AN28" s="1"/>
      <c r="AO28" s="1"/>
      <c r="AP28" s="1"/>
      <c r="AQ28" s="1"/>
      <c r="AR28" s="1"/>
      <c r="AS28" s="1"/>
      <c r="AT28" s="1"/>
      <c r="AU28" s="1"/>
      <c r="AV28" s="1"/>
      <c r="AW28" s="1"/>
      <c r="AX28" s="1"/>
      <c r="AY28" s="1"/>
      <c r="AZ28" s="1"/>
      <c r="BA28" s="1"/>
      <c r="BB28" s="1"/>
      <c r="BC28" s="1" t="s">
        <v>10</v>
      </c>
      <c r="BD28" s="4">
        <f>BE28*$D$15*$D$14</f>
        <v>74865</v>
      </c>
      <c r="BE28" s="4">
        <f>BE72</f>
        <v>299.45999999999998</v>
      </c>
      <c r="BF28" s="4">
        <f t="shared" si="3"/>
        <v>1.0977272727272729</v>
      </c>
      <c r="BG28" s="4">
        <f t="shared" si="4"/>
        <v>0.4177310540732474</v>
      </c>
      <c r="BH28" s="4">
        <f t="shared" si="8"/>
        <v>2.6268421052631576</v>
      </c>
      <c r="BI28" s="12">
        <f t="shared" si="5"/>
        <v>6.5671052631578936E-2</v>
      </c>
      <c r="BJ28" s="22">
        <f t="shared" si="6"/>
        <v>0.31385082568687112</v>
      </c>
      <c r="BK28" s="1"/>
      <c r="BL28" s="1"/>
      <c r="BM28" s="1"/>
      <c r="BN28" s="1"/>
      <c r="BO28" s="87"/>
      <c r="BP28" s="1"/>
      <c r="BQ28" s="1"/>
      <c r="BR28" s="5" t="s">
        <v>82</v>
      </c>
      <c r="BS28" s="10"/>
      <c r="BT28" s="1"/>
      <c r="BU28" s="1" t="s">
        <v>206</v>
      </c>
      <c r="BV28" s="88"/>
      <c r="BW28" s="1"/>
      <c r="BX28" s="1"/>
      <c r="BY28" s="1"/>
      <c r="BZ28" s="6"/>
      <c r="CA28" s="1"/>
      <c r="CB28" s="1"/>
      <c r="CC28" s="1"/>
      <c r="CD28" s="1"/>
      <c r="CE28" s="1"/>
      <c r="CF28" s="1"/>
      <c r="CG28" s="1"/>
      <c r="CH28" s="1">
        <v>44</v>
      </c>
      <c r="CI28" s="1"/>
      <c r="CJ28" s="7">
        <v>5.5</v>
      </c>
      <c r="CK28" s="7">
        <v>24.5</v>
      </c>
      <c r="CL28" s="7"/>
      <c r="CM28" s="4">
        <v>5500</v>
      </c>
      <c r="CN28" s="4">
        <v>4500</v>
      </c>
      <c r="CO28" s="1"/>
      <c r="CP28" s="1"/>
      <c r="CQ28" s="1"/>
      <c r="CR28" s="1"/>
      <c r="CS28" s="1"/>
      <c r="CT28" s="1"/>
      <c r="CU28" s="1"/>
      <c r="CV28" s="1"/>
      <c r="CW28" s="1"/>
      <c r="CX28" s="1"/>
      <c r="CY28" s="1"/>
      <c r="CZ28" s="1"/>
      <c r="DA28" s="1"/>
      <c r="DB28" s="1"/>
      <c r="DC28" s="1"/>
      <c r="DD28" s="1"/>
      <c r="DE28" s="1"/>
      <c r="DF28" s="1"/>
      <c r="DG28" s="1"/>
    </row>
    <row r="29" spans="1:111" x14ac:dyDescent="0.45">
      <c r="A29" s="57" t="s">
        <v>3</v>
      </c>
      <c r="B29" s="52"/>
      <c r="C29" s="52"/>
      <c r="D29" s="55"/>
      <c r="E29" s="1"/>
      <c r="F29" s="52"/>
      <c r="G29" s="52"/>
      <c r="H29" s="52"/>
      <c r="I29" s="52"/>
      <c r="J29" s="76" t="s">
        <v>14</v>
      </c>
      <c r="K29" s="77">
        <f t="shared" ref="K29:Q31" si="11">BD30</f>
        <v>4638.8465377855891</v>
      </c>
      <c r="L29" s="77">
        <f t="shared" si="11"/>
        <v>18.555386151142354</v>
      </c>
      <c r="M29" s="77">
        <f t="shared" si="11"/>
        <v>6.8018277680140612E-2</v>
      </c>
      <c r="N29" s="77">
        <f t="shared" si="11"/>
        <v>2.5883794215096619E-2</v>
      </c>
      <c r="O29" s="77">
        <f t="shared" si="11"/>
        <v>0.16276654518545924</v>
      </c>
      <c r="P29" s="77">
        <f t="shared" si="11"/>
        <v>4.0691636296364807E-3</v>
      </c>
      <c r="Q29" s="26">
        <f t="shared" si="11"/>
        <v>1.9447082296382697E-2</v>
      </c>
      <c r="R29" s="52"/>
      <c r="S29" s="11"/>
      <c r="T29" s="11"/>
      <c r="U29" s="11"/>
      <c r="V29" s="1"/>
      <c r="W29" s="1"/>
      <c r="X29" s="1"/>
      <c r="Y29" s="1"/>
      <c r="Z29" s="1"/>
      <c r="AA29" s="1"/>
      <c r="AB29" s="1"/>
      <c r="AC29" s="1"/>
      <c r="AD29" s="1"/>
      <c r="AE29" s="1"/>
      <c r="AF29" s="1"/>
      <c r="AG29" s="1"/>
      <c r="AH29" s="1" t="s">
        <v>3</v>
      </c>
      <c r="AI29" s="1"/>
      <c r="AJ29" s="1"/>
      <c r="AK29" s="25"/>
      <c r="AL29" s="25"/>
      <c r="AM29" s="1"/>
      <c r="AN29" s="1"/>
      <c r="AO29" s="1"/>
      <c r="AP29" s="1"/>
      <c r="AQ29" s="1"/>
      <c r="AR29" s="1"/>
      <c r="AS29" s="1"/>
      <c r="AT29" s="1"/>
      <c r="AU29" s="1"/>
      <c r="AV29" s="1"/>
      <c r="AW29" s="1"/>
      <c r="AX29" s="1"/>
      <c r="AY29" s="1"/>
      <c r="AZ29" s="1"/>
      <c r="BA29" s="1"/>
      <c r="BB29" s="1"/>
      <c r="BC29" s="1" t="s">
        <v>2</v>
      </c>
      <c r="BD29" s="4">
        <f>BE29*$D$15*$D$14</f>
        <v>45845.555555555555</v>
      </c>
      <c r="BE29" s="4">
        <f>D20*BI43*BE60</f>
        <v>183.3822222222222</v>
      </c>
      <c r="BF29" s="4">
        <f t="shared" si="3"/>
        <v>0.67222222222222228</v>
      </c>
      <c r="BG29" s="4">
        <f t="shared" si="4"/>
        <v>0.25580861880445926</v>
      </c>
      <c r="BH29" s="4">
        <f t="shared" si="8"/>
        <v>1.6086159844054579</v>
      </c>
      <c r="BI29" s="12">
        <f t="shared" si="5"/>
        <v>4.0215399610136447E-2</v>
      </c>
      <c r="BJ29" s="22">
        <f t="shared" si="6"/>
        <v>0.19219482355151851</v>
      </c>
      <c r="BK29" s="1"/>
      <c r="BL29" s="1"/>
      <c r="BM29" s="1"/>
      <c r="BN29" s="1"/>
      <c r="BO29" s="87" t="s">
        <v>84</v>
      </c>
      <c r="BP29" s="1">
        <v>194798.17</v>
      </c>
      <c r="BQ29" s="1"/>
      <c r="BR29" s="1" t="s">
        <v>66</v>
      </c>
      <c r="BS29" s="1">
        <v>0.3</v>
      </c>
      <c r="BT29" s="1"/>
      <c r="BU29" s="5"/>
      <c r="BV29" s="111" t="s">
        <v>204</v>
      </c>
      <c r="BW29" s="1"/>
      <c r="BX29" s="1"/>
      <c r="BY29" s="1"/>
      <c r="BZ29" s="6"/>
      <c r="CA29" s="1"/>
      <c r="CB29" s="1"/>
      <c r="CC29" s="1"/>
      <c r="CD29" s="1"/>
      <c r="CE29" s="1"/>
      <c r="CF29" s="1"/>
      <c r="CG29" s="1"/>
      <c r="CH29" s="1">
        <v>45</v>
      </c>
      <c r="CI29" s="1"/>
      <c r="CJ29" s="7">
        <v>6</v>
      </c>
      <c r="CK29" s="7">
        <v>25</v>
      </c>
      <c r="CL29" s="7"/>
      <c r="CM29" s="4">
        <v>6000</v>
      </c>
      <c r="CN29" s="4">
        <v>5000</v>
      </c>
      <c r="CO29" s="1"/>
      <c r="CP29" s="1"/>
      <c r="CQ29" s="1"/>
      <c r="CR29" s="1"/>
      <c r="CS29" s="1"/>
      <c r="CT29" s="1"/>
      <c r="CU29" s="1"/>
      <c r="CV29" s="1"/>
      <c r="CW29" s="1"/>
      <c r="CX29" s="1"/>
      <c r="CY29" s="1"/>
      <c r="CZ29" s="1"/>
      <c r="DA29" s="1"/>
      <c r="DB29" s="1"/>
      <c r="DC29" s="1"/>
      <c r="DD29" s="1"/>
      <c r="DE29" s="1"/>
      <c r="DF29" s="1"/>
      <c r="DG29" s="1"/>
    </row>
    <row r="30" spans="1:111" x14ac:dyDescent="0.45">
      <c r="A30" s="52" t="s">
        <v>63</v>
      </c>
      <c r="B30" s="52"/>
      <c r="C30" s="52"/>
      <c r="D30" s="53" t="str">
        <f>Simplified!D24</f>
        <v>New Vehicle</v>
      </c>
      <c r="E30" s="1"/>
      <c r="F30" s="52"/>
      <c r="G30" s="52"/>
      <c r="H30" s="52"/>
      <c r="I30" s="52"/>
      <c r="J30" s="76" t="s">
        <v>58</v>
      </c>
      <c r="K30" s="77">
        <f t="shared" si="11"/>
        <v>17817.919831282954</v>
      </c>
      <c r="L30" s="77">
        <f t="shared" si="11"/>
        <v>71.271679325131814</v>
      </c>
      <c r="M30" s="77">
        <f t="shared" si="11"/>
        <v>0.26125982157306388</v>
      </c>
      <c r="N30" s="77">
        <f t="shared" si="11"/>
        <v>9.9420268917577603E-2</v>
      </c>
      <c r="O30" s="77">
        <f t="shared" si="11"/>
        <v>0.6251901695187001</v>
      </c>
      <c r="P30" s="77">
        <f t="shared" si="11"/>
        <v>1.5629754237967503E-2</v>
      </c>
      <c r="Q30" s="26">
        <f t="shared" si="11"/>
        <v>7.4696705417359663E-2</v>
      </c>
      <c r="R30" s="52"/>
      <c r="S30" s="11"/>
      <c r="T30" s="11"/>
      <c r="U30" s="11"/>
      <c r="V30" s="1"/>
      <c r="W30" s="1"/>
      <c r="X30" s="1"/>
      <c r="Y30" s="1"/>
      <c r="Z30" s="1"/>
      <c r="AA30" s="1"/>
      <c r="AB30" s="1"/>
      <c r="AC30" s="1"/>
      <c r="AD30" s="1"/>
      <c r="AE30" s="1"/>
      <c r="AF30" s="1"/>
      <c r="AG30" s="1"/>
      <c r="AH30" s="1" t="s">
        <v>63</v>
      </c>
      <c r="AI30" s="1"/>
      <c r="AJ30" s="1"/>
      <c r="AK30" s="25" t="s">
        <v>84</v>
      </c>
      <c r="AL30" s="25"/>
      <c r="AM30" s="1"/>
      <c r="AN30" s="1"/>
      <c r="AO30" s="1"/>
      <c r="AP30" s="1"/>
      <c r="AQ30" s="1"/>
      <c r="AR30" s="1"/>
      <c r="AS30" s="1"/>
      <c r="AT30" s="1"/>
      <c r="AU30" s="1"/>
      <c r="AV30" s="1"/>
      <c r="AW30" s="1"/>
      <c r="AX30" s="1"/>
      <c r="AY30" s="1"/>
      <c r="AZ30" s="1"/>
      <c r="BA30" s="1"/>
      <c r="BB30" s="1"/>
      <c r="BC30" s="1" t="s">
        <v>14</v>
      </c>
      <c r="BD30" s="4">
        <f>BE30*$D$15*$D$14</f>
        <v>4638.8465377855891</v>
      </c>
      <c r="BE30" s="4">
        <f>BJ43*BE60</f>
        <v>18.555386151142354</v>
      </c>
      <c r="BF30" s="4">
        <f t="shared" si="3"/>
        <v>6.8018277680140612E-2</v>
      </c>
      <c r="BG30" s="4">
        <f t="shared" si="4"/>
        <v>2.5883794215096619E-2</v>
      </c>
      <c r="BH30" s="4">
        <f t="shared" si="8"/>
        <v>0.16276654518545924</v>
      </c>
      <c r="BI30" s="12">
        <f t="shared" si="5"/>
        <v>4.0691636296364807E-3</v>
      </c>
      <c r="BJ30" s="22">
        <f t="shared" si="6"/>
        <v>1.9447082296382697E-2</v>
      </c>
      <c r="BK30" s="1"/>
      <c r="BL30" s="1"/>
      <c r="BM30" s="1"/>
      <c r="BN30" s="1"/>
      <c r="BO30" s="87" t="s">
        <v>85</v>
      </c>
      <c r="BP30" s="1">
        <v>103309.52</v>
      </c>
      <c r="BQ30" s="1"/>
      <c r="BR30" s="1" t="s">
        <v>57</v>
      </c>
      <c r="BS30" s="1">
        <v>0</v>
      </c>
      <c r="BT30" s="1"/>
      <c r="BU30" s="1" t="s">
        <v>75</v>
      </c>
      <c r="BV30" s="112">
        <f>BP20/BV26</f>
        <v>6.8018277680140599E-2</v>
      </c>
      <c r="BW30" s="1"/>
      <c r="BX30" s="1"/>
      <c r="BY30" s="1"/>
      <c r="BZ30" s="6"/>
      <c r="CA30" s="1"/>
      <c r="CB30" s="1"/>
      <c r="CC30" s="1"/>
      <c r="CD30" s="1"/>
      <c r="CE30" s="1"/>
      <c r="CF30" s="1"/>
      <c r="CG30" s="1"/>
      <c r="CH30" s="1">
        <v>46</v>
      </c>
      <c r="CI30" s="1"/>
      <c r="CJ30" s="7">
        <v>6.5</v>
      </c>
      <c r="CK30" s="7">
        <v>25.5</v>
      </c>
      <c r="CL30" s="7"/>
      <c r="CM30" s="4">
        <v>6500</v>
      </c>
      <c r="CN30" s="4">
        <v>5500</v>
      </c>
      <c r="CO30" s="1"/>
      <c r="CP30" s="1"/>
      <c r="CQ30" s="1"/>
      <c r="CR30" s="1"/>
      <c r="CS30" s="1"/>
      <c r="CT30" s="1"/>
      <c r="CU30" s="1"/>
      <c r="CV30" s="1"/>
      <c r="CW30" s="1"/>
      <c r="CX30" s="1"/>
      <c r="CY30" s="1"/>
      <c r="CZ30" s="1"/>
      <c r="DA30" s="1"/>
      <c r="DB30" s="1"/>
      <c r="DC30" s="1"/>
      <c r="DD30" s="1"/>
      <c r="DE30" s="1"/>
      <c r="DF30" s="1"/>
      <c r="DG30" s="1"/>
    </row>
    <row r="31" spans="1:111" x14ac:dyDescent="0.45">
      <c r="A31" s="52" t="s">
        <v>169</v>
      </c>
      <c r="B31" s="52"/>
      <c r="C31" s="52"/>
      <c r="D31" s="52"/>
      <c r="E31" s="32">
        <v>205000</v>
      </c>
      <c r="F31" s="52"/>
      <c r="G31" s="65"/>
      <c r="H31" s="52"/>
      <c r="I31" s="52"/>
      <c r="J31" s="76" t="s">
        <v>59</v>
      </c>
      <c r="K31" s="77">
        <f t="shared" si="11"/>
        <v>1432.1999999999998</v>
      </c>
      <c r="L31" s="77">
        <f t="shared" si="11"/>
        <v>5.7287999999999997</v>
      </c>
      <c r="M31" s="77">
        <f t="shared" si="11"/>
        <v>2.1000000000000001E-2</v>
      </c>
      <c r="N31" s="77">
        <f t="shared" si="11"/>
        <v>7.9913766866186453E-3</v>
      </c>
      <c r="O31" s="77">
        <f t="shared" si="11"/>
        <v>5.0252631578947368E-2</v>
      </c>
      <c r="P31" s="77">
        <f t="shared" si="11"/>
        <v>1.2563157894736842E-3</v>
      </c>
      <c r="Q31" s="26">
        <f t="shared" si="11"/>
        <v>6.0041027522705782E-3</v>
      </c>
      <c r="R31" s="52"/>
      <c r="S31" s="11"/>
      <c r="T31" s="11"/>
      <c r="U31" s="11"/>
      <c r="V31" s="1"/>
      <c r="W31" s="1"/>
      <c r="X31" s="1"/>
      <c r="Y31" s="1"/>
      <c r="Z31" s="1"/>
      <c r="AA31" s="1"/>
      <c r="AB31" s="1"/>
      <c r="AC31" s="1"/>
      <c r="AD31" s="1"/>
      <c r="AE31" s="1"/>
      <c r="AF31" s="1"/>
      <c r="AG31" s="1"/>
      <c r="AH31" s="1" t="s">
        <v>169</v>
      </c>
      <c r="AI31" s="1"/>
      <c r="AJ31" s="1"/>
      <c r="AK31" s="29"/>
      <c r="AL31" s="25">
        <v>195000</v>
      </c>
      <c r="AM31" s="1"/>
      <c r="AN31" s="1"/>
      <c r="AO31" s="1"/>
      <c r="AP31" s="1"/>
      <c r="AQ31" s="1"/>
      <c r="AR31" s="1"/>
      <c r="AS31" s="1"/>
      <c r="AT31" s="1"/>
      <c r="AU31" s="1"/>
      <c r="AV31" s="1"/>
      <c r="AW31" s="1"/>
      <c r="AX31" s="1"/>
      <c r="AY31" s="1"/>
      <c r="AZ31" s="1"/>
      <c r="BA31" s="1"/>
      <c r="BB31" s="1"/>
      <c r="BC31" s="1" t="s">
        <v>58</v>
      </c>
      <c r="BD31" s="4">
        <f>BE31*$D$15*$D$14</f>
        <v>17817.919831282954</v>
      </c>
      <c r="BE31" s="4">
        <f>(BK43*BE60)+(IF(E50="Y",BN52,0))</f>
        <v>71.271679325131814</v>
      </c>
      <c r="BF31" s="4">
        <f t="shared" si="3"/>
        <v>0.26125982157306388</v>
      </c>
      <c r="BG31" s="4">
        <f t="shared" si="4"/>
        <v>9.9420268917577603E-2</v>
      </c>
      <c r="BH31" s="4">
        <f t="shared" si="8"/>
        <v>0.6251901695187001</v>
      </c>
      <c r="BI31" s="12">
        <f t="shared" si="5"/>
        <v>1.5629754237967503E-2</v>
      </c>
      <c r="BJ31" s="22">
        <f t="shared" si="6"/>
        <v>7.4696705417359663E-2</v>
      </c>
      <c r="BK31" s="1"/>
      <c r="BL31" s="1"/>
      <c r="BM31" s="1"/>
      <c r="BN31" s="1"/>
      <c r="BO31" s="87" t="s">
        <v>92</v>
      </c>
      <c r="BP31" s="1">
        <v>0.09</v>
      </c>
      <c r="BQ31" s="1"/>
      <c r="BR31" s="1"/>
      <c r="BS31" s="1"/>
      <c r="BT31" s="1"/>
      <c r="BU31" s="1" t="s">
        <v>205</v>
      </c>
      <c r="BV31" s="112">
        <f>BP19/BV26</f>
        <v>0.17768210896309314</v>
      </c>
      <c r="BW31" s="1"/>
      <c r="BX31" s="1"/>
      <c r="BY31" s="1"/>
      <c r="BZ31" s="6"/>
      <c r="CA31" s="1"/>
      <c r="CB31" s="1"/>
      <c r="CC31" s="1"/>
      <c r="CD31" s="1"/>
      <c r="CE31" s="1"/>
      <c r="CF31" s="1"/>
      <c r="CG31" s="1"/>
      <c r="CH31" s="1">
        <v>47</v>
      </c>
      <c r="CI31" s="1"/>
      <c r="CJ31" s="7">
        <v>7</v>
      </c>
      <c r="CK31" s="7">
        <v>26</v>
      </c>
      <c r="CL31" s="7"/>
      <c r="CM31" s="4">
        <v>7000</v>
      </c>
      <c r="CN31" s="4">
        <v>6000</v>
      </c>
      <c r="CO31" s="1"/>
      <c r="CP31" s="1"/>
      <c r="CQ31" s="1"/>
      <c r="CR31" s="10"/>
      <c r="CS31" s="1"/>
      <c r="CT31" s="10"/>
      <c r="CU31" s="1"/>
      <c r="CV31" s="10"/>
      <c r="CW31" s="1"/>
      <c r="CX31" s="1"/>
      <c r="CY31" s="1"/>
      <c r="CZ31" s="1"/>
      <c r="DA31" s="1"/>
      <c r="DB31" s="1"/>
      <c r="DC31" s="1"/>
      <c r="DD31" s="1"/>
      <c r="DE31" s="1"/>
      <c r="DF31" s="1"/>
      <c r="DG31" s="1"/>
    </row>
    <row r="32" spans="1:111" x14ac:dyDescent="0.45">
      <c r="A32" s="52" t="s">
        <v>172</v>
      </c>
      <c r="B32" s="52"/>
      <c r="C32" s="52"/>
      <c r="D32" s="52"/>
      <c r="E32" s="49">
        <v>0.09</v>
      </c>
      <c r="F32" s="52"/>
      <c r="G32" s="65"/>
      <c r="H32" s="52"/>
      <c r="I32" s="52"/>
      <c r="J32" s="52"/>
      <c r="K32" s="78"/>
      <c r="L32" s="78"/>
      <c r="M32" s="52"/>
      <c r="N32" s="79"/>
      <c r="O32" s="78"/>
      <c r="P32" s="78"/>
      <c r="Q32" s="52"/>
      <c r="R32" s="52"/>
      <c r="S32" s="11"/>
      <c r="T32" s="11"/>
      <c r="U32" s="11"/>
      <c r="V32" s="1"/>
      <c r="W32" s="1"/>
      <c r="X32" s="1"/>
      <c r="Y32" s="1"/>
      <c r="Z32" s="1"/>
      <c r="AA32" s="1"/>
      <c r="AB32" s="1"/>
      <c r="AC32" s="1"/>
      <c r="AD32" s="1"/>
      <c r="AE32" s="1"/>
      <c r="AF32" s="1"/>
      <c r="AG32" s="1"/>
      <c r="AH32" s="1" t="s">
        <v>172</v>
      </c>
      <c r="AI32" s="1"/>
      <c r="AJ32" s="1"/>
      <c r="AK32" s="30"/>
      <c r="AL32" s="25">
        <v>0.09</v>
      </c>
      <c r="AM32" s="1"/>
      <c r="AN32" s="1"/>
      <c r="AO32" s="1"/>
      <c r="AP32" s="1"/>
      <c r="AQ32" s="1"/>
      <c r="AR32" s="1"/>
      <c r="AS32" s="1"/>
      <c r="AT32" s="1"/>
      <c r="AU32" s="1"/>
      <c r="AV32" s="1"/>
      <c r="AW32" s="1"/>
      <c r="AX32" s="1"/>
      <c r="AY32" s="1"/>
      <c r="AZ32" s="1"/>
      <c r="BA32" s="1"/>
      <c r="BB32" s="1"/>
      <c r="BC32" s="1" t="s">
        <v>59</v>
      </c>
      <c r="BD32" s="4">
        <f>BE32*$D$15*$D$14</f>
        <v>1432.1999999999998</v>
      </c>
      <c r="BE32" s="4">
        <f>BL43*BE60</f>
        <v>5.7287999999999997</v>
      </c>
      <c r="BF32" s="4">
        <f t="shared" si="3"/>
        <v>2.1000000000000001E-2</v>
      </c>
      <c r="BG32" s="4">
        <f t="shared" si="4"/>
        <v>7.9913766866186453E-3</v>
      </c>
      <c r="BH32" s="4">
        <f t="shared" si="8"/>
        <v>5.0252631578947368E-2</v>
      </c>
      <c r="BI32" s="12">
        <f t="shared" si="5"/>
        <v>1.2563157894736842E-3</v>
      </c>
      <c r="BJ32" s="22">
        <f t="shared" si="6"/>
        <v>6.0041027522705782E-3</v>
      </c>
      <c r="BK32" s="1"/>
      <c r="BL32" s="1"/>
      <c r="BM32" s="1"/>
      <c r="BN32" s="1"/>
      <c r="BO32" s="87" t="s">
        <v>45</v>
      </c>
      <c r="BP32" s="1">
        <v>4</v>
      </c>
      <c r="BQ32" s="1"/>
      <c r="BR32" s="5" t="s">
        <v>89</v>
      </c>
      <c r="BS32" s="1"/>
      <c r="BT32" s="1"/>
      <c r="BU32" s="1" t="s">
        <v>59</v>
      </c>
      <c r="BV32" s="112">
        <v>2.1000000000000001E-2</v>
      </c>
      <c r="BW32" s="1"/>
      <c r="BX32" s="1"/>
      <c r="BY32" s="1"/>
      <c r="BZ32" s="6"/>
      <c r="CA32" s="1"/>
      <c r="CB32" s="1"/>
      <c r="CC32" s="1"/>
      <c r="CD32" s="1"/>
      <c r="CE32" s="1"/>
      <c r="CF32" s="1"/>
      <c r="CG32" s="1"/>
      <c r="CH32" s="1">
        <v>48</v>
      </c>
      <c r="CI32" s="1"/>
      <c r="CJ32" s="7">
        <v>7.5</v>
      </c>
      <c r="CK32" s="7">
        <v>26.5</v>
      </c>
      <c r="CL32" s="7"/>
      <c r="CM32" s="4">
        <v>7500</v>
      </c>
      <c r="CN32" s="4">
        <v>6500</v>
      </c>
      <c r="CO32" s="1"/>
      <c r="CP32" s="1"/>
      <c r="CQ32" s="1"/>
      <c r="CR32" s="11"/>
      <c r="CS32" s="1"/>
      <c r="CT32" s="1"/>
      <c r="CU32" s="1"/>
      <c r="CV32" s="1"/>
      <c r="CW32" s="1"/>
      <c r="CX32" s="1"/>
      <c r="CY32" s="1"/>
      <c r="CZ32" s="1"/>
      <c r="DA32" s="1"/>
      <c r="DB32" s="1"/>
      <c r="DC32" s="1"/>
      <c r="DD32" s="1"/>
      <c r="DE32" s="1"/>
      <c r="DF32" s="1"/>
      <c r="DG32" s="1"/>
    </row>
    <row r="33" spans="1:111" x14ac:dyDescent="0.45">
      <c r="A33" s="52" t="s">
        <v>124</v>
      </c>
      <c r="B33" s="52"/>
      <c r="C33" s="52"/>
      <c r="D33" s="52"/>
      <c r="E33" s="31">
        <v>4</v>
      </c>
      <c r="F33" s="52"/>
      <c r="G33" s="65"/>
      <c r="H33" s="52"/>
      <c r="I33" s="52"/>
      <c r="J33" s="52" t="s">
        <v>9</v>
      </c>
      <c r="K33" s="80">
        <f>BD34</f>
        <v>238536.89037190165</v>
      </c>
      <c r="L33" s="81">
        <f>SUM(L23:L31)</f>
        <v>954.14756148760659</v>
      </c>
      <c r="M33" s="80">
        <f>SUM(M23:M31)</f>
        <v>3.4976083632243649</v>
      </c>
      <c r="N33" s="80">
        <f>SUM(N23:N31)</f>
        <v>1.3309859967996949</v>
      </c>
      <c r="O33" s="81">
        <f>SUM(O23:O31)</f>
        <v>8.2808272674351464</v>
      </c>
      <c r="P33" s="81">
        <f>SUM(P23:P31)</f>
        <v>0.21785623109761176</v>
      </c>
      <c r="Q33" s="27">
        <f>BJ34</f>
        <v>1</v>
      </c>
      <c r="R33" s="52"/>
      <c r="S33" s="1"/>
      <c r="T33" s="1"/>
      <c r="U33" s="1"/>
      <c r="V33" s="1"/>
      <c r="W33" s="1"/>
      <c r="X33" s="1"/>
      <c r="Y33" s="1"/>
      <c r="Z33" s="1"/>
      <c r="AA33" s="1"/>
      <c r="AB33" s="1"/>
      <c r="AC33" s="1"/>
      <c r="AD33" s="1"/>
      <c r="AE33" s="1"/>
      <c r="AF33" s="1"/>
      <c r="AG33" s="1"/>
      <c r="AH33" s="1" t="s">
        <v>124</v>
      </c>
      <c r="AI33" s="1"/>
      <c r="AJ33" s="1"/>
      <c r="AK33" s="25"/>
      <c r="AL33" s="25">
        <v>4</v>
      </c>
      <c r="AM33" s="1"/>
      <c r="AN33" s="1"/>
      <c r="AO33" s="1"/>
      <c r="AP33" s="1"/>
      <c r="AQ33" s="1"/>
      <c r="AR33" s="1"/>
      <c r="AS33" s="1"/>
      <c r="AT33" s="1"/>
      <c r="AU33" s="1"/>
      <c r="AV33" s="1"/>
      <c r="AW33" s="1"/>
      <c r="AX33" s="1"/>
      <c r="AY33" s="1"/>
      <c r="AZ33" s="1"/>
      <c r="BA33" s="1"/>
      <c r="BB33" s="1"/>
      <c r="BC33" s="1"/>
      <c r="BD33" s="1"/>
      <c r="BE33" s="4"/>
      <c r="BF33" s="1"/>
      <c r="BH33" s="4"/>
      <c r="BI33" s="4"/>
      <c r="BJ33" s="1"/>
      <c r="BK33" s="1"/>
      <c r="BL33" s="1"/>
      <c r="BM33" s="1"/>
      <c r="BN33" s="1"/>
      <c r="BO33" s="87" t="s">
        <v>167</v>
      </c>
      <c r="BP33" s="7">
        <f>0.29*BP29</f>
        <v>56491.469299999997</v>
      </c>
      <c r="BQ33" s="1"/>
      <c r="BR33" s="1" t="s">
        <v>90</v>
      </c>
      <c r="BS33" s="1">
        <v>59372.83</v>
      </c>
      <c r="BT33" s="1"/>
      <c r="BU33" s="1"/>
      <c r="BV33" s="88"/>
      <c r="BW33" s="1"/>
      <c r="BX33" s="1"/>
      <c r="BY33" s="1"/>
      <c r="BZ33" s="1"/>
      <c r="CA33" s="1"/>
      <c r="CB33" s="1"/>
      <c r="CC33" s="1"/>
      <c r="CD33" s="1"/>
      <c r="CE33" s="1"/>
      <c r="CF33" s="1"/>
      <c r="CG33" s="1"/>
      <c r="CH33" s="1">
        <v>49</v>
      </c>
      <c r="CI33" s="1"/>
      <c r="CJ33" s="7">
        <v>8</v>
      </c>
      <c r="CK33" s="7">
        <v>27</v>
      </c>
      <c r="CL33" s="7"/>
      <c r="CM33" s="4">
        <v>8000</v>
      </c>
      <c r="CN33" s="4">
        <v>7000</v>
      </c>
      <c r="CO33" s="1"/>
      <c r="CP33" s="1"/>
      <c r="CQ33" s="1"/>
      <c r="CR33" s="11"/>
      <c r="CS33" s="11"/>
      <c r="CT33" s="11"/>
      <c r="CU33" s="11"/>
      <c r="CV33" s="11"/>
      <c r="CW33" s="1"/>
      <c r="CX33" s="1"/>
      <c r="CY33" s="1"/>
      <c r="CZ33" s="1"/>
      <c r="DA33" s="1"/>
      <c r="DB33" s="1"/>
      <c r="DC33" s="1"/>
      <c r="DD33" s="1"/>
      <c r="DE33" s="1"/>
      <c r="DF33" s="1"/>
      <c r="DG33" s="1"/>
    </row>
    <row r="34" spans="1:111" x14ac:dyDescent="0.45">
      <c r="A34" s="52" t="s">
        <v>170</v>
      </c>
      <c r="B34" s="52"/>
      <c r="C34" s="52"/>
      <c r="D34" s="52"/>
      <c r="E34" s="32">
        <f>0.3*E31</f>
        <v>61500</v>
      </c>
      <c r="F34" s="52"/>
      <c r="G34" s="52"/>
      <c r="H34" s="52"/>
      <c r="I34" s="52"/>
      <c r="J34" s="52"/>
      <c r="K34" s="52"/>
      <c r="L34" s="52"/>
      <c r="M34" s="52"/>
      <c r="N34" s="52"/>
      <c r="O34" s="52"/>
      <c r="P34" s="52"/>
      <c r="Q34" s="52"/>
      <c r="R34" s="52"/>
      <c r="S34" s="1"/>
      <c r="T34" s="1"/>
      <c r="U34" s="1"/>
      <c r="V34" s="1"/>
      <c r="W34" s="1"/>
      <c r="X34" s="1"/>
      <c r="Y34" s="1"/>
      <c r="Z34" s="1"/>
      <c r="AA34" s="1"/>
      <c r="AB34" s="1"/>
      <c r="AC34" s="1"/>
      <c r="AD34" s="1"/>
      <c r="AE34" s="1"/>
      <c r="AF34" s="1"/>
      <c r="AG34" s="1"/>
      <c r="AH34" s="1" t="s">
        <v>170</v>
      </c>
      <c r="AI34" s="1"/>
      <c r="AJ34" s="1"/>
      <c r="AK34" s="25"/>
      <c r="AL34" s="25">
        <v>58500</v>
      </c>
      <c r="AM34" s="1"/>
      <c r="AN34" s="1"/>
      <c r="AO34" s="1"/>
      <c r="AP34" s="1"/>
      <c r="AQ34" s="1"/>
      <c r="AR34" s="1"/>
      <c r="AS34" s="1"/>
      <c r="AT34" s="1"/>
      <c r="AU34" s="1"/>
      <c r="AV34" s="1"/>
      <c r="AW34" s="1"/>
      <c r="AX34" s="1"/>
      <c r="AY34" s="1"/>
      <c r="AZ34" s="1"/>
      <c r="BA34" s="1"/>
      <c r="BB34" s="1"/>
      <c r="BC34" s="1" t="s">
        <v>9</v>
      </c>
      <c r="BD34" s="4">
        <f t="shared" ref="BD34:BJ34" si="12">SUM(BD24:BD32)</f>
        <v>238536.89037190165</v>
      </c>
      <c r="BE34" s="8">
        <f t="shared" si="12"/>
        <v>954.14756148760659</v>
      </c>
      <c r="BF34" s="4">
        <f t="shared" si="12"/>
        <v>3.4976083632243649</v>
      </c>
      <c r="BG34" s="8">
        <f t="shared" si="12"/>
        <v>1.3309859967996949</v>
      </c>
      <c r="BH34" s="8">
        <f t="shared" si="12"/>
        <v>8.3697154516456731</v>
      </c>
      <c r="BI34" s="8">
        <f t="shared" si="12"/>
        <v>0.20924288629114179</v>
      </c>
      <c r="BJ34" s="10">
        <f t="shared" si="12"/>
        <v>1</v>
      </c>
      <c r="BK34" s="1"/>
      <c r="BL34" s="1"/>
      <c r="BM34" s="1"/>
      <c r="BN34" s="1"/>
      <c r="BO34" s="93" t="s">
        <v>168</v>
      </c>
      <c r="BP34" s="94">
        <f>0.29*BP30</f>
        <v>29959.7608</v>
      </c>
      <c r="BQ34" s="1"/>
      <c r="BR34" s="1" t="s">
        <v>98</v>
      </c>
      <c r="BS34" s="1">
        <v>1</v>
      </c>
      <c r="BT34" s="1"/>
      <c r="BU34" s="1" t="s">
        <v>207</v>
      </c>
      <c r="BV34" s="88"/>
      <c r="BW34" s="1"/>
      <c r="BX34" s="1"/>
      <c r="BY34" s="1"/>
      <c r="BZ34" s="1"/>
      <c r="CA34" s="1"/>
      <c r="CB34" s="1"/>
      <c r="CC34" s="1"/>
      <c r="CD34" s="1"/>
      <c r="CE34" s="1"/>
      <c r="CF34" s="1"/>
      <c r="CG34" s="1"/>
      <c r="CH34" s="1">
        <v>50</v>
      </c>
      <c r="CI34" s="1"/>
      <c r="CJ34" s="7">
        <v>8.5</v>
      </c>
      <c r="CK34" s="7">
        <v>27.5</v>
      </c>
      <c r="CL34" s="7"/>
      <c r="CM34" s="4">
        <v>8500</v>
      </c>
      <c r="CN34" s="4">
        <v>7500</v>
      </c>
      <c r="CO34" s="1"/>
      <c r="CP34" s="1"/>
      <c r="CQ34" s="1"/>
      <c r="CR34" s="11"/>
      <c r="CS34" s="11"/>
      <c r="CT34" s="11"/>
      <c r="CU34" s="11"/>
      <c r="CV34" s="11"/>
      <c r="CW34" s="1"/>
      <c r="CX34" s="11"/>
      <c r="CY34" s="1"/>
      <c r="CZ34" s="1"/>
      <c r="DA34" s="1"/>
      <c r="DB34" s="1"/>
      <c r="DC34" s="1"/>
      <c r="DD34" s="1"/>
      <c r="DE34" s="1"/>
      <c r="DF34" s="1"/>
      <c r="DG34" s="1"/>
    </row>
    <row r="35" spans="1:111" x14ac:dyDescent="0.45">
      <c r="A35" s="52" t="s">
        <v>162</v>
      </c>
      <c r="B35" s="52"/>
      <c r="C35" s="52"/>
      <c r="D35" s="58"/>
      <c r="E35" s="31">
        <v>5</v>
      </c>
      <c r="F35" s="66"/>
      <c r="G35" s="52"/>
      <c r="H35" s="52"/>
      <c r="I35" s="52"/>
      <c r="J35" s="52"/>
      <c r="K35" s="78"/>
      <c r="L35" s="78"/>
      <c r="M35" s="78"/>
      <c r="N35" s="78"/>
      <c r="O35" s="78"/>
      <c r="P35" s="78"/>
      <c r="Q35" s="106"/>
      <c r="R35" s="52"/>
      <c r="S35" s="52"/>
      <c r="T35" s="52"/>
      <c r="U35" s="52"/>
      <c r="V35" s="52"/>
      <c r="W35" s="52"/>
      <c r="X35" s="52"/>
      <c r="Y35" s="52"/>
      <c r="Z35" s="52"/>
      <c r="AA35" s="52"/>
      <c r="AB35" s="52"/>
      <c r="AC35" s="52"/>
      <c r="AD35" s="52"/>
      <c r="AE35" s="52"/>
      <c r="AF35" s="1"/>
      <c r="AG35" s="1"/>
      <c r="AH35" s="1" t="s">
        <v>162</v>
      </c>
      <c r="AI35" s="1"/>
      <c r="AJ35" s="1"/>
      <c r="AK35" s="25"/>
      <c r="AL35" s="25">
        <v>4</v>
      </c>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87"/>
      <c r="BP35" s="1"/>
      <c r="BQ35" s="1"/>
      <c r="BR35" s="1" t="s">
        <v>139</v>
      </c>
      <c r="BS35" s="1">
        <v>59372.83</v>
      </c>
      <c r="BT35" s="1"/>
      <c r="BU35" s="5"/>
      <c r="BV35" s="111" t="s">
        <v>204</v>
      </c>
      <c r="BW35" s="1"/>
      <c r="BX35" s="1"/>
      <c r="BY35" s="1"/>
      <c r="BZ35" s="1"/>
      <c r="CA35" s="1"/>
      <c r="CB35" s="1"/>
      <c r="CC35" s="1"/>
      <c r="CD35" s="1"/>
      <c r="CE35" s="1"/>
      <c r="CF35" s="1"/>
      <c r="CG35" s="1"/>
      <c r="CH35" s="1">
        <v>51</v>
      </c>
      <c r="CI35" s="1"/>
      <c r="CJ35" s="7">
        <v>9</v>
      </c>
      <c r="CK35" s="7">
        <v>28</v>
      </c>
      <c r="CL35" s="7"/>
      <c r="CM35" s="4">
        <v>9000</v>
      </c>
      <c r="CN35" s="4">
        <v>8000</v>
      </c>
      <c r="CO35" s="1"/>
      <c r="CP35" s="1"/>
      <c r="CQ35" s="1"/>
      <c r="CR35" s="1"/>
      <c r="CS35" s="1"/>
      <c r="CT35" s="1"/>
      <c r="CU35" s="1"/>
      <c r="CV35" s="1"/>
      <c r="CW35" s="1"/>
      <c r="CX35" s="1"/>
      <c r="CY35" s="1"/>
      <c r="CZ35" s="1"/>
      <c r="DA35" s="1"/>
      <c r="DB35" s="1"/>
      <c r="DC35" s="1"/>
      <c r="DD35" s="1"/>
      <c r="DE35" s="1"/>
      <c r="DF35" s="1"/>
      <c r="DG35" s="1"/>
    </row>
    <row r="36" spans="1:111" x14ac:dyDescent="0.45">
      <c r="A36" s="52" t="s">
        <v>67</v>
      </c>
      <c r="B36" s="52"/>
      <c r="C36" s="52"/>
      <c r="D36" s="53" t="str">
        <f>Simplified!D25</f>
        <v>4-Bolster</v>
      </c>
      <c r="E36" s="1"/>
      <c r="F36" s="52"/>
      <c r="G36" s="52"/>
      <c r="H36" s="52"/>
      <c r="I36" s="52"/>
      <c r="J36" s="52"/>
      <c r="K36" s="109"/>
      <c r="L36" s="78"/>
      <c r="M36" s="78"/>
      <c r="N36" s="78"/>
      <c r="O36" s="78"/>
      <c r="P36" s="78"/>
      <c r="Q36" s="106"/>
      <c r="R36" s="52"/>
      <c r="S36" s="52"/>
      <c r="T36" s="52"/>
      <c r="U36" s="52"/>
      <c r="V36" s="52"/>
      <c r="W36" s="52"/>
      <c r="X36" s="52"/>
      <c r="Y36" s="52"/>
      <c r="Z36" s="52"/>
      <c r="AA36" s="52"/>
      <c r="AB36" s="52"/>
      <c r="AC36" s="52"/>
      <c r="AD36" s="52"/>
      <c r="AE36" s="52"/>
      <c r="AF36" s="1"/>
      <c r="AG36" s="1"/>
      <c r="AH36" s="1" t="s">
        <v>67</v>
      </c>
      <c r="AI36" s="1"/>
      <c r="AJ36" s="1"/>
      <c r="AK36" s="25" t="s">
        <v>88</v>
      </c>
      <c r="AL36" s="25"/>
      <c r="AM36" s="1"/>
      <c r="AN36" s="1"/>
      <c r="AO36" s="1"/>
      <c r="AP36" s="1"/>
      <c r="AQ36" s="1"/>
      <c r="AR36" s="1"/>
      <c r="AS36" s="1"/>
      <c r="AT36" s="1"/>
      <c r="AU36" s="1"/>
      <c r="AV36" s="1"/>
      <c r="AW36" s="1"/>
      <c r="AX36" s="1"/>
      <c r="AY36" s="1"/>
      <c r="AZ36" s="1"/>
      <c r="BA36" s="1"/>
      <c r="BB36" s="1"/>
      <c r="BC36" s="3" t="s">
        <v>15</v>
      </c>
      <c r="BD36" s="1"/>
      <c r="BE36" s="1">
        <f>D18*BE60</f>
        <v>114</v>
      </c>
      <c r="BF36" s="1"/>
      <c r="BG36" s="1"/>
      <c r="BH36" s="1"/>
      <c r="BI36" s="1"/>
      <c r="BJ36" s="1"/>
      <c r="BK36" s="1"/>
      <c r="BL36" s="1"/>
      <c r="BM36" s="1"/>
      <c r="BN36" s="1"/>
      <c r="BO36" s="91" t="s">
        <v>86</v>
      </c>
      <c r="BP36" s="1"/>
      <c r="BQ36" s="1"/>
      <c r="BR36" s="1" t="s">
        <v>140</v>
      </c>
      <c r="BS36" s="1">
        <v>1115.67</v>
      </c>
      <c r="BT36" s="1"/>
      <c r="BU36" s="1" t="s">
        <v>75</v>
      </c>
      <c r="BV36" s="112">
        <v>4.7E-2</v>
      </c>
      <c r="BW36" s="1"/>
      <c r="BX36" s="1"/>
      <c r="BY36" s="1"/>
      <c r="BZ36" s="1"/>
      <c r="CA36" s="1"/>
      <c r="CB36" s="1"/>
      <c r="CC36" s="1"/>
      <c r="CD36" s="1"/>
      <c r="CE36" s="1"/>
      <c r="CF36" s="1"/>
      <c r="CG36" s="1"/>
      <c r="CH36" s="1">
        <v>52</v>
      </c>
      <c r="CI36" s="1"/>
      <c r="CJ36" s="7">
        <v>9.5</v>
      </c>
      <c r="CK36" s="7">
        <v>28.5</v>
      </c>
      <c r="CL36" s="7"/>
      <c r="CM36" s="4">
        <v>9500</v>
      </c>
      <c r="CN36" s="4">
        <v>8500</v>
      </c>
      <c r="CO36" s="1"/>
      <c r="CP36" s="1"/>
      <c r="CQ36" s="1"/>
      <c r="CR36" s="1"/>
      <c r="CS36" s="1"/>
      <c r="CT36" s="1"/>
      <c r="CU36" s="1"/>
      <c r="CV36" s="1"/>
      <c r="CW36" s="1"/>
      <c r="CX36" s="1"/>
      <c r="CY36" s="1"/>
      <c r="CZ36" s="1"/>
      <c r="DA36" s="1"/>
      <c r="DB36" s="1"/>
      <c r="DC36" s="1"/>
      <c r="DD36" s="1"/>
      <c r="DE36" s="1"/>
      <c r="DF36" s="1"/>
      <c r="DG36" s="1"/>
    </row>
    <row r="37" spans="1:111" x14ac:dyDescent="0.45">
      <c r="A37" s="52" t="s">
        <v>171</v>
      </c>
      <c r="B37" s="52"/>
      <c r="C37" s="52"/>
      <c r="D37" s="52"/>
      <c r="E37" s="32">
        <v>29000</v>
      </c>
      <c r="F37" s="52"/>
      <c r="G37" s="52"/>
      <c r="H37" s="52"/>
      <c r="I37" s="52"/>
      <c r="J37" s="52"/>
      <c r="K37" s="109"/>
      <c r="L37" s="82"/>
      <c r="M37" s="78"/>
      <c r="N37" s="78"/>
      <c r="O37" s="78"/>
      <c r="P37" s="78"/>
      <c r="Q37" s="106"/>
      <c r="R37" s="52"/>
      <c r="S37" s="52"/>
      <c r="T37" s="52"/>
      <c r="U37" s="52"/>
      <c r="V37" s="52"/>
      <c r="W37" s="52"/>
      <c r="X37" s="52"/>
      <c r="Y37" s="52"/>
      <c r="Z37" s="52"/>
      <c r="AA37" s="52"/>
      <c r="AB37" s="52"/>
      <c r="AC37" s="52"/>
      <c r="AD37" s="52"/>
      <c r="AE37" s="52"/>
      <c r="AF37" s="1"/>
      <c r="AG37" s="1"/>
      <c r="AH37" s="1" t="s">
        <v>171</v>
      </c>
      <c r="AI37" s="1"/>
      <c r="AJ37" s="1"/>
      <c r="AK37" s="25"/>
      <c r="AL37" s="25">
        <v>28600</v>
      </c>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87" t="s">
        <v>68</v>
      </c>
      <c r="BP37" s="7">
        <v>22027.777777777777</v>
      </c>
      <c r="BQ37" s="1"/>
      <c r="BR37" s="1" t="s">
        <v>141</v>
      </c>
      <c r="BS37" s="1">
        <v>223.13</v>
      </c>
      <c r="BT37" s="1"/>
      <c r="BU37" s="1" t="s">
        <v>205</v>
      </c>
      <c r="BV37" s="112">
        <v>0.36299999999999999</v>
      </c>
      <c r="BW37" s="1"/>
      <c r="BX37" s="1"/>
      <c r="BY37" s="1"/>
      <c r="BZ37" s="1"/>
      <c r="CA37" s="1"/>
      <c r="CB37" s="1"/>
      <c r="CC37" s="1"/>
      <c r="CD37" s="1"/>
      <c r="CE37" s="1"/>
      <c r="CF37" s="1"/>
      <c r="CG37" s="1"/>
      <c r="CH37" s="1"/>
      <c r="CI37" s="1"/>
      <c r="CJ37" s="7">
        <v>10</v>
      </c>
      <c r="CK37" s="7">
        <v>29</v>
      </c>
      <c r="CL37" s="7"/>
      <c r="CM37" s="4">
        <v>10000</v>
      </c>
      <c r="CN37" s="4">
        <v>9000</v>
      </c>
      <c r="CO37" s="1"/>
      <c r="CP37" s="1"/>
      <c r="CQ37" s="1"/>
      <c r="CR37" s="1"/>
      <c r="CS37" s="1"/>
      <c r="CT37" s="1"/>
      <c r="CU37" s="1"/>
      <c r="CV37" s="1"/>
      <c r="CW37" s="1"/>
      <c r="CX37" s="1"/>
      <c r="CY37" s="1"/>
      <c r="CZ37" s="1"/>
      <c r="DA37" s="1"/>
      <c r="DB37" s="1"/>
      <c r="DC37" s="1"/>
      <c r="DD37" s="1"/>
      <c r="DE37" s="1"/>
      <c r="DF37" s="1"/>
      <c r="DG37" s="1"/>
    </row>
    <row r="38" spans="1:111" x14ac:dyDescent="0.45">
      <c r="A38" s="52" t="s">
        <v>163</v>
      </c>
      <c r="B38" s="52"/>
      <c r="C38" s="52"/>
      <c r="D38" s="52"/>
      <c r="E38" s="34">
        <v>25</v>
      </c>
      <c r="F38" s="66"/>
      <c r="G38" s="52"/>
      <c r="H38" s="52"/>
      <c r="I38"/>
      <c r="J38" s="52"/>
      <c r="K38" s="109"/>
      <c r="L38" s="82"/>
      <c r="M38" s="78"/>
      <c r="N38" s="78"/>
      <c r="O38" s="78"/>
      <c r="P38" s="78"/>
      <c r="Q38" s="106"/>
      <c r="R38" s="52"/>
      <c r="S38" s="52"/>
      <c r="T38" s="52"/>
      <c r="U38" s="52"/>
      <c r="V38" s="52"/>
      <c r="W38" s="52"/>
      <c r="X38" s="52"/>
      <c r="Y38" s="52"/>
      <c r="Z38" s="52"/>
      <c r="AA38" s="52"/>
      <c r="AB38" s="52"/>
      <c r="AC38" s="52"/>
      <c r="AD38" s="52"/>
      <c r="AE38" s="52"/>
      <c r="AF38" s="1"/>
      <c r="AG38" s="1"/>
      <c r="AH38" s="1" t="s">
        <v>163</v>
      </c>
      <c r="AI38" s="1"/>
      <c r="AJ38" s="1"/>
      <c r="AK38" s="25"/>
      <c r="AL38" s="25">
        <v>25</v>
      </c>
      <c r="AM38" s="1"/>
      <c r="AN38" s="1"/>
      <c r="AO38" s="1"/>
      <c r="AP38" s="1"/>
      <c r="AQ38" s="1"/>
      <c r="AR38" s="1"/>
      <c r="AS38" s="1"/>
      <c r="AT38" s="1"/>
      <c r="AU38" s="1"/>
      <c r="AV38" s="1"/>
      <c r="AW38" s="1"/>
      <c r="AX38" s="1"/>
      <c r="AY38" s="1"/>
      <c r="AZ38" s="1"/>
      <c r="BA38" s="1"/>
      <c r="BB38" s="1"/>
      <c r="BC38" s="3" t="s">
        <v>16</v>
      </c>
      <c r="BD38" s="1" t="s">
        <v>117</v>
      </c>
      <c r="BE38" s="1" t="s">
        <v>52</v>
      </c>
      <c r="BF38" s="1" t="s">
        <v>17</v>
      </c>
      <c r="BG38" s="1" t="s">
        <v>18</v>
      </c>
      <c r="BH38" s="1" t="s">
        <v>19</v>
      </c>
      <c r="BI38" s="1" t="s">
        <v>24</v>
      </c>
      <c r="BJ38" s="1" t="s">
        <v>14</v>
      </c>
      <c r="BK38" s="1" t="s">
        <v>58</v>
      </c>
      <c r="BL38" s="1" t="s">
        <v>59</v>
      </c>
      <c r="BM38" s="1"/>
      <c r="BN38" s="1"/>
      <c r="BO38" s="87" t="s">
        <v>88</v>
      </c>
      <c r="BP38" s="7">
        <v>28622.222222222223</v>
      </c>
      <c r="BQ38" s="1"/>
      <c r="BR38" s="1" t="s">
        <v>142</v>
      </c>
      <c r="BS38" s="1">
        <v>27.89</v>
      </c>
      <c r="BT38" s="1"/>
      <c r="BU38" s="1"/>
      <c r="BV38" s="88"/>
      <c r="BW38" s="1"/>
      <c r="BX38" s="1"/>
      <c r="BY38" s="1"/>
      <c r="BZ38" s="1"/>
      <c r="CA38" s="1"/>
      <c r="CB38" s="1"/>
      <c r="CC38" s="1"/>
      <c r="CD38" s="1"/>
      <c r="CE38" s="1"/>
      <c r="CF38" s="1"/>
      <c r="CG38" s="1"/>
      <c r="CH38" s="1"/>
      <c r="CI38" s="1"/>
      <c r="CJ38" s="7">
        <v>10.5</v>
      </c>
      <c r="CK38" s="7">
        <v>29.5</v>
      </c>
      <c r="CL38" s="7"/>
      <c r="CM38" s="4">
        <v>10500</v>
      </c>
      <c r="CN38" s="4">
        <v>9500</v>
      </c>
      <c r="CO38" s="1"/>
      <c r="CP38" s="1"/>
      <c r="CQ38" s="1"/>
      <c r="CR38" s="1"/>
      <c r="CS38" s="1"/>
      <c r="CT38" s="1"/>
      <c r="CU38" s="1"/>
      <c r="CV38" s="1"/>
      <c r="CW38" s="1"/>
      <c r="CX38" s="1"/>
      <c r="CY38" s="1"/>
      <c r="CZ38" s="1"/>
      <c r="DA38" s="1"/>
      <c r="DB38" s="1"/>
      <c r="DC38" s="1"/>
      <c r="DD38" s="1"/>
      <c r="DE38" s="1"/>
      <c r="DF38" s="1"/>
    </row>
    <row r="39" spans="1:111" x14ac:dyDescent="0.45">
      <c r="A39" s="52"/>
      <c r="B39" s="52"/>
      <c r="C39" s="52"/>
      <c r="D39" s="52"/>
      <c r="E39" s="1"/>
      <c r="F39" s="52"/>
      <c r="G39" s="52"/>
      <c r="H39" s="52"/>
      <c r="I39" s="52"/>
      <c r="J39" s="52"/>
      <c r="K39" s="109"/>
      <c r="L39" s="82"/>
      <c r="M39" s="78"/>
      <c r="N39" s="78"/>
      <c r="O39" s="78"/>
      <c r="P39" s="78"/>
      <c r="Q39" s="106"/>
      <c r="R39" s="52"/>
      <c r="S39" s="52"/>
      <c r="T39" s="52"/>
      <c r="U39" s="52"/>
      <c r="V39" s="52"/>
      <c r="W39" s="52"/>
      <c r="X39" s="52"/>
      <c r="Y39" s="52"/>
      <c r="Z39" s="52"/>
      <c r="AA39" s="52"/>
      <c r="AB39" s="52"/>
      <c r="AC39" s="52"/>
      <c r="AD39" s="52"/>
      <c r="AE39" s="52"/>
      <c r="AF39" s="1"/>
      <c r="AG39" s="1"/>
      <c r="AH39" s="1"/>
      <c r="AI39" s="1"/>
      <c r="AJ39" s="1"/>
      <c r="AK39" s="25"/>
      <c r="AL39" s="25"/>
      <c r="AM39" s="1"/>
      <c r="AN39" s="1"/>
      <c r="AO39" s="1"/>
      <c r="AP39" s="1"/>
      <c r="AQ39" s="1"/>
      <c r="AR39" s="1"/>
      <c r="AS39" s="1"/>
      <c r="AT39" s="1"/>
      <c r="AU39" s="1"/>
      <c r="AV39" s="1"/>
      <c r="AW39" s="1"/>
      <c r="AX39" s="1"/>
      <c r="AY39" s="1"/>
      <c r="AZ39" s="1"/>
      <c r="BA39" s="1"/>
      <c r="BB39" s="1"/>
      <c r="BC39" s="1" t="s">
        <v>20</v>
      </c>
      <c r="BD39" s="1">
        <f>D60</f>
        <v>1</v>
      </c>
      <c r="BE39" s="1">
        <v>10</v>
      </c>
      <c r="BF39" s="1">
        <f>60/BE39</f>
        <v>6</v>
      </c>
      <c r="BG39" s="1">
        <f>BF39*BD39</f>
        <v>6</v>
      </c>
      <c r="BH39" s="1">
        <f>IF($E$23 = "Y", E24, $D$21)</f>
        <v>5.4</v>
      </c>
      <c r="BI39" s="11">
        <f>BD39/BH39</f>
        <v>0.18518518518518517</v>
      </c>
      <c r="BJ39" s="1">
        <f>$BI$49*BD39</f>
        <v>6.8018277680140599E-2</v>
      </c>
      <c r="BK39" s="1">
        <f>$BI$50*BD39</f>
        <v>0.17768210896309314</v>
      </c>
      <c r="BL39" s="1">
        <f>$BI$51*BD39</f>
        <v>2.1000000000000001E-2</v>
      </c>
      <c r="BM39" s="1"/>
      <c r="BN39" s="1"/>
      <c r="BO39" s="87" t="s">
        <v>69</v>
      </c>
      <c r="BP39" s="7">
        <v>17000</v>
      </c>
      <c r="BQ39" s="1"/>
      <c r="BR39" s="1"/>
      <c r="BS39" s="1"/>
      <c r="BT39" s="1"/>
      <c r="BU39" s="1"/>
      <c r="BV39" s="88"/>
      <c r="BW39" s="1"/>
      <c r="BX39" s="1"/>
      <c r="BY39" s="1"/>
      <c r="BZ39" s="1"/>
      <c r="CA39" s="1"/>
      <c r="CB39" s="1"/>
      <c r="CC39" s="1"/>
      <c r="CD39" s="1"/>
      <c r="CE39" s="1"/>
      <c r="CF39" s="1"/>
      <c r="CG39" s="1"/>
      <c r="CH39" s="1"/>
      <c r="CI39" s="1"/>
      <c r="CJ39" s="7">
        <v>11</v>
      </c>
      <c r="CK39" s="7">
        <v>30</v>
      </c>
      <c r="CL39" s="7"/>
      <c r="CM39" s="4">
        <v>11000</v>
      </c>
      <c r="CN39" s="4">
        <v>10000</v>
      </c>
      <c r="CO39" s="1"/>
      <c r="CP39" s="1"/>
      <c r="CQ39" s="1"/>
      <c r="CR39" s="1"/>
      <c r="CS39" s="1"/>
      <c r="CT39" s="1"/>
      <c r="CU39" s="1"/>
      <c r="CV39" s="1"/>
      <c r="CW39" s="1"/>
      <c r="CX39" s="1"/>
      <c r="CY39" s="1"/>
      <c r="CZ39" s="1"/>
      <c r="DA39" s="1"/>
      <c r="DB39" s="1"/>
      <c r="DC39" s="1"/>
      <c r="DD39" s="1"/>
      <c r="DE39" s="1"/>
      <c r="DF39" s="1"/>
    </row>
    <row r="40" spans="1:111" x14ac:dyDescent="0.45">
      <c r="A40" s="52" t="s">
        <v>94</v>
      </c>
      <c r="B40" s="52"/>
      <c r="C40" s="52"/>
      <c r="D40" s="59">
        <f>Simplified!D26</f>
        <v>13453.9</v>
      </c>
      <c r="E40" s="1"/>
      <c r="F40" s="52"/>
      <c r="G40" s="52"/>
      <c r="H40" s="52"/>
      <c r="I40" s="52"/>
      <c r="J40" s="52"/>
      <c r="K40" s="109"/>
      <c r="L40" s="82"/>
      <c r="M40" s="78"/>
      <c r="N40" s="78"/>
      <c r="O40" s="78"/>
      <c r="P40" s="78"/>
      <c r="Q40" s="106"/>
      <c r="R40" s="52"/>
      <c r="S40" s="52"/>
      <c r="T40" s="52"/>
      <c r="U40" s="52"/>
      <c r="V40" s="52"/>
      <c r="W40" s="52"/>
      <c r="X40" s="52"/>
      <c r="Y40" s="52"/>
      <c r="Z40" s="52"/>
      <c r="AA40" s="52"/>
      <c r="AB40" s="52"/>
      <c r="AC40" s="52"/>
      <c r="AD40" s="52"/>
      <c r="AE40" s="52"/>
      <c r="AF40" s="1"/>
      <c r="AG40" s="1"/>
      <c r="AH40" s="1" t="s">
        <v>94</v>
      </c>
      <c r="AI40" s="1"/>
      <c r="AJ40" s="1"/>
      <c r="AK40" s="25">
        <v>13453.9</v>
      </c>
      <c r="AL40" s="25"/>
      <c r="AM40" s="1"/>
      <c r="AN40" s="1"/>
      <c r="AO40" s="1"/>
      <c r="AP40" s="1"/>
      <c r="AQ40" s="1"/>
      <c r="AR40" s="1"/>
      <c r="AS40" s="1"/>
      <c r="AT40" s="1"/>
      <c r="AU40" s="1"/>
      <c r="AV40" s="1"/>
      <c r="AW40" s="1"/>
      <c r="AX40" s="1"/>
      <c r="AY40" s="1"/>
      <c r="AZ40" s="1"/>
      <c r="BA40" s="1"/>
      <c r="BB40" s="1"/>
      <c r="BC40" s="1" t="s">
        <v>21</v>
      </c>
      <c r="BD40" s="1">
        <f>D61</f>
        <v>30</v>
      </c>
      <c r="BE40" s="1">
        <v>55</v>
      </c>
      <c r="BF40" s="11">
        <f t="shared" ref="BF40:BF42" si="13">60/BE40</f>
        <v>1.0909090909090908</v>
      </c>
      <c r="BG40" s="11">
        <f>BF40*BD40</f>
        <v>32.727272727272727</v>
      </c>
      <c r="BH40" s="1">
        <f>IF($E$23 = "Y", E25, $D$21)</f>
        <v>5.4</v>
      </c>
      <c r="BI40" s="11">
        <f>BD40/BH40</f>
        <v>5.5555555555555554</v>
      </c>
      <c r="BJ40" s="1">
        <f>$BI$49*BD40</f>
        <v>2.040548330404218</v>
      </c>
      <c r="BK40" s="1">
        <f>$BI$50*BD40</f>
        <v>5.3304632688927942</v>
      </c>
      <c r="BL40" s="1">
        <f>$BI$51*BD40</f>
        <v>0.63</v>
      </c>
      <c r="BM40" s="1"/>
      <c r="BN40" s="1"/>
      <c r="BO40" s="87" t="s">
        <v>87</v>
      </c>
      <c r="BP40" s="7">
        <v>67266.666666666672</v>
      </c>
      <c r="BQ40" s="1"/>
      <c r="BR40" s="5" t="s">
        <v>186</v>
      </c>
      <c r="BS40" s="1"/>
      <c r="BT40" s="1"/>
      <c r="BU40" s="1"/>
      <c r="BV40" s="88"/>
      <c r="BW40" s="1"/>
      <c r="BX40" s="1"/>
      <c r="BY40" s="1"/>
      <c r="BZ40" s="1"/>
      <c r="CA40" s="1"/>
      <c r="CB40" s="1"/>
      <c r="CC40" s="1"/>
      <c r="CD40" s="1"/>
      <c r="CE40" s="1"/>
      <c r="CF40" s="1"/>
      <c r="CG40" s="1"/>
      <c r="CH40" s="1"/>
      <c r="CI40" s="1"/>
      <c r="CJ40" s="7">
        <v>11.5</v>
      </c>
      <c r="CK40" s="7">
        <v>30.5</v>
      </c>
      <c r="CL40" s="7"/>
      <c r="CM40" s="4">
        <v>11500</v>
      </c>
      <c r="CN40" s="4"/>
      <c r="CO40" s="1"/>
      <c r="CP40" s="1"/>
      <c r="CQ40" s="1"/>
      <c r="CR40" s="1"/>
      <c r="CS40" s="1"/>
      <c r="CT40" s="1"/>
      <c r="CU40" s="1"/>
      <c r="CV40" s="1"/>
      <c r="CW40" s="1"/>
      <c r="CX40" s="1"/>
      <c r="CY40" s="1"/>
      <c r="CZ40" s="1"/>
      <c r="DA40" s="1"/>
      <c r="DB40" s="1"/>
      <c r="DC40" s="1"/>
      <c r="DD40" s="1"/>
      <c r="DE40" s="1"/>
      <c r="DF40" s="1"/>
    </row>
    <row r="41" spans="1:111" x14ac:dyDescent="0.45">
      <c r="A41" s="52" t="s">
        <v>93</v>
      </c>
      <c r="B41" s="52"/>
      <c r="C41" s="52"/>
      <c r="D41" s="59">
        <f>Simplified!D27</f>
        <v>2598.27</v>
      </c>
      <c r="E41" s="1"/>
      <c r="F41" s="52"/>
      <c r="G41" s="52"/>
      <c r="H41" s="52"/>
      <c r="I41" s="52"/>
      <c r="J41" s="52"/>
      <c r="K41" s="109"/>
      <c r="L41" s="82"/>
      <c r="M41" s="78"/>
      <c r="N41" s="78"/>
      <c r="O41" s="78"/>
      <c r="P41" s="78"/>
      <c r="Q41" s="106"/>
      <c r="R41" s="52"/>
      <c r="S41" s="52"/>
      <c r="T41" s="52"/>
      <c r="U41" s="52"/>
      <c r="V41" s="52"/>
      <c r="W41" s="52"/>
      <c r="X41" s="52"/>
      <c r="Y41" s="52"/>
      <c r="Z41" s="52"/>
      <c r="AA41" s="52"/>
      <c r="AB41" s="52"/>
      <c r="AC41" s="52"/>
      <c r="AD41" s="52"/>
      <c r="AE41" s="52"/>
      <c r="AF41" s="1"/>
      <c r="AG41" s="1"/>
      <c r="AH41" s="1" t="s">
        <v>93</v>
      </c>
      <c r="AI41" s="1"/>
      <c r="AJ41" s="1"/>
      <c r="AK41" s="25">
        <v>2598.27</v>
      </c>
      <c r="AL41" s="25"/>
      <c r="AM41" s="1"/>
      <c r="AN41" s="1"/>
      <c r="AO41" s="1"/>
      <c r="AP41" s="1"/>
      <c r="AQ41" s="1"/>
      <c r="AR41" s="1"/>
      <c r="AS41" s="1"/>
      <c r="AT41" s="1"/>
      <c r="AU41" s="1"/>
      <c r="AV41" s="1"/>
      <c r="AW41" s="1"/>
      <c r="AX41" s="1"/>
      <c r="AY41" s="1"/>
      <c r="AZ41" s="1"/>
      <c r="BA41" s="1"/>
      <c r="BB41" s="1"/>
      <c r="BC41" s="1" t="s">
        <v>22</v>
      </c>
      <c r="BD41" s="1">
        <f>D61+BD46</f>
        <v>36.199999999999996</v>
      </c>
      <c r="BE41" s="1">
        <v>55</v>
      </c>
      <c r="BF41" s="11">
        <f t="shared" si="13"/>
        <v>1.0909090909090908</v>
      </c>
      <c r="BG41" s="11">
        <f>BF41*BD41</f>
        <v>39.490909090909085</v>
      </c>
      <c r="BH41" s="1">
        <f>IF($E$23 = "Y", E26, $D$21)</f>
        <v>5.4</v>
      </c>
      <c r="BI41" s="11">
        <f>BD41/BH41</f>
        <v>6.7037037037037024</v>
      </c>
      <c r="BJ41" s="1">
        <f>$BI$49*BD41</f>
        <v>2.4622616520210894</v>
      </c>
      <c r="BK41" s="1">
        <f>$BI$50*BD41</f>
        <v>6.432092344463971</v>
      </c>
      <c r="BL41" s="1">
        <f>$BI$51*BD41</f>
        <v>0.76019999999999999</v>
      </c>
      <c r="BM41" s="1"/>
      <c r="BN41" s="1"/>
      <c r="BO41" s="91" t="s">
        <v>112</v>
      </c>
      <c r="BP41" s="7">
        <v>36475.69</v>
      </c>
      <c r="BQ41" s="1"/>
      <c r="BR41" s="1" t="s">
        <v>188</v>
      </c>
      <c r="BS41" s="10">
        <v>0.45</v>
      </c>
      <c r="BT41" s="1"/>
      <c r="BU41" s="1"/>
      <c r="BV41" s="88"/>
      <c r="BW41" s="1"/>
      <c r="BX41" s="1"/>
      <c r="BY41" s="1"/>
      <c r="BZ41" s="1"/>
      <c r="CA41" s="1"/>
      <c r="CB41" s="1"/>
      <c r="CC41" s="1"/>
      <c r="CD41" s="1"/>
      <c r="CE41" s="1"/>
      <c r="CF41" s="1"/>
      <c r="CG41" s="1"/>
      <c r="CH41" s="1"/>
      <c r="CI41" s="1"/>
      <c r="CJ41" s="7">
        <v>12</v>
      </c>
      <c r="CK41" s="7">
        <v>31</v>
      </c>
      <c r="CL41" s="7"/>
      <c r="CM41" s="4">
        <v>12000</v>
      </c>
      <c r="CN41" s="4"/>
      <c r="CO41" s="1"/>
      <c r="CP41" s="1"/>
      <c r="CQ41" s="1"/>
      <c r="CR41" s="1"/>
      <c r="CS41" s="1"/>
      <c r="CT41" s="1"/>
      <c r="CU41" s="1"/>
      <c r="CV41" s="1"/>
      <c r="CW41" s="1"/>
      <c r="CX41" s="1"/>
      <c r="CY41" s="1"/>
      <c r="CZ41" s="1"/>
      <c r="DA41" s="1"/>
      <c r="DB41" s="1"/>
      <c r="DC41" s="1"/>
      <c r="DD41" s="1"/>
      <c r="DE41" s="1"/>
      <c r="DF41" s="1"/>
    </row>
    <row r="42" spans="1:111" x14ac:dyDescent="0.45">
      <c r="A42" s="52"/>
      <c r="B42" s="52"/>
      <c r="C42" s="52"/>
      <c r="D42" s="52"/>
      <c r="E42" s="1"/>
      <c r="F42" s="52"/>
      <c r="G42" s="52"/>
      <c r="H42" s="52"/>
      <c r="I42" s="52"/>
      <c r="J42" s="52"/>
      <c r="K42" s="14"/>
      <c r="L42" s="82"/>
      <c r="M42" s="78"/>
      <c r="N42" s="78"/>
      <c r="O42" s="78"/>
      <c r="P42" s="78"/>
      <c r="Q42" s="106"/>
      <c r="R42" s="52"/>
      <c r="S42" s="52"/>
      <c r="T42" s="52"/>
      <c r="U42" s="52"/>
      <c r="V42" s="52"/>
      <c r="W42" s="52"/>
      <c r="X42" s="52"/>
      <c r="Y42" s="52"/>
      <c r="Z42" s="52"/>
      <c r="AA42" s="52"/>
      <c r="AB42" s="52"/>
      <c r="AC42" s="52"/>
      <c r="AD42" s="52"/>
      <c r="AE42" s="52"/>
      <c r="AF42" s="1"/>
      <c r="AG42" s="1"/>
      <c r="AH42" s="1"/>
      <c r="AI42" s="1"/>
      <c r="AJ42" s="1"/>
      <c r="AK42" s="25"/>
      <c r="AL42" s="25"/>
      <c r="AM42" s="1"/>
      <c r="AN42" s="1"/>
      <c r="AO42" s="1"/>
      <c r="AP42" s="1"/>
      <c r="AQ42" s="1"/>
      <c r="AR42" s="1"/>
      <c r="AS42" s="1"/>
      <c r="AT42" s="1"/>
      <c r="AU42" s="1"/>
      <c r="AV42" s="1"/>
      <c r="AW42" s="1"/>
      <c r="AX42" s="1"/>
      <c r="AY42" s="1"/>
      <c r="AZ42" s="1"/>
      <c r="BA42" s="1"/>
      <c r="BB42" s="1"/>
      <c r="BC42" s="1" t="s">
        <v>23</v>
      </c>
      <c r="BD42" s="1">
        <f>D60</f>
        <v>1</v>
      </c>
      <c r="BE42" s="1">
        <v>10</v>
      </c>
      <c r="BF42" s="1">
        <f t="shared" si="13"/>
        <v>6</v>
      </c>
      <c r="BG42" s="1">
        <f>BF42*BD42</f>
        <v>6</v>
      </c>
      <c r="BH42" s="1">
        <f>IF($E$23 = "Y", E27, $D$21)</f>
        <v>5.4</v>
      </c>
      <c r="BI42" s="11">
        <f>BD42/BH42</f>
        <v>0.18518518518518517</v>
      </c>
      <c r="BJ42" s="1">
        <f>$BI$49*BD42</f>
        <v>6.8018277680140599E-2</v>
      </c>
      <c r="BK42" s="1">
        <f>$BI$50*BD42</f>
        <v>0.17768210896309314</v>
      </c>
      <c r="BL42" s="1">
        <f>$BI$51*BD42</f>
        <v>2.1000000000000001E-2</v>
      </c>
      <c r="BM42" s="1"/>
      <c r="BN42" s="1"/>
      <c r="BO42" s="95" t="s">
        <v>131</v>
      </c>
      <c r="BP42" s="36">
        <v>25</v>
      </c>
      <c r="BQ42" s="36"/>
      <c r="BR42" s="36" t="s">
        <v>187</v>
      </c>
      <c r="BS42" s="104">
        <f>1-(2*IF(BS41&gt;1,BS41/100,BS41))</f>
        <v>9.9999999999999978E-2</v>
      </c>
      <c r="BT42" s="36"/>
      <c r="BU42" s="36"/>
      <c r="BV42" s="96"/>
      <c r="BW42" s="1"/>
      <c r="BX42" s="1"/>
      <c r="BY42" s="1"/>
      <c r="BZ42" s="1"/>
      <c r="CA42" s="1"/>
      <c r="CB42" s="1"/>
      <c r="CC42" s="1"/>
      <c r="CD42" s="1"/>
      <c r="CE42" s="1"/>
      <c r="CF42" s="1"/>
      <c r="CG42" s="1"/>
      <c r="CH42" s="1"/>
      <c r="CI42" s="1"/>
      <c r="CJ42" s="7">
        <v>12.5</v>
      </c>
      <c r="CK42" s="7">
        <v>31.5</v>
      </c>
      <c r="CL42" s="7"/>
      <c r="CM42" s="4">
        <v>12500</v>
      </c>
      <c r="CN42" s="4"/>
      <c r="CO42" s="1"/>
      <c r="CP42" s="1"/>
      <c r="CQ42" s="1"/>
      <c r="CR42" s="1"/>
      <c r="CS42" s="1"/>
      <c r="CT42" s="1"/>
      <c r="CU42" s="1"/>
      <c r="CV42" s="1"/>
      <c r="CW42" s="1"/>
      <c r="CX42" s="1"/>
      <c r="CY42" s="1"/>
      <c r="CZ42" s="1"/>
      <c r="DA42" s="1"/>
      <c r="DB42" s="1"/>
      <c r="DC42" s="1"/>
      <c r="DD42" s="1"/>
      <c r="DE42" s="1"/>
      <c r="DF42" s="1"/>
    </row>
    <row r="43" spans="1:111" x14ac:dyDescent="0.45">
      <c r="A43" s="57" t="s">
        <v>10</v>
      </c>
      <c r="B43" s="52"/>
      <c r="C43" s="52"/>
      <c r="D43" s="60"/>
      <c r="E43" s="1"/>
      <c r="F43" s="52"/>
      <c r="G43" s="52"/>
      <c r="H43" s="52"/>
      <c r="I43" s="52"/>
      <c r="J43" s="52"/>
      <c r="K43" s="109"/>
      <c r="L43" s="82"/>
      <c r="M43" s="78"/>
      <c r="N43" s="78"/>
      <c r="O43" s="78"/>
      <c r="P43" s="78"/>
      <c r="Q43" s="106"/>
      <c r="R43" s="52"/>
      <c r="S43" s="52"/>
      <c r="T43" s="52"/>
      <c r="U43" s="52"/>
      <c r="V43" s="52"/>
      <c r="W43" s="52"/>
      <c r="X43" s="52"/>
      <c r="Y43" s="52"/>
      <c r="Z43" s="52"/>
      <c r="AA43" s="52"/>
      <c r="AB43" s="52"/>
      <c r="AC43" s="52"/>
      <c r="AD43" s="52"/>
      <c r="AE43" s="52"/>
      <c r="AF43" s="1"/>
      <c r="AG43" s="1"/>
      <c r="AH43" s="1" t="s">
        <v>10</v>
      </c>
      <c r="AI43" s="1"/>
      <c r="AJ43" s="1"/>
      <c r="AK43" s="25"/>
      <c r="AL43" s="25"/>
      <c r="AM43" s="1"/>
      <c r="AN43" s="1"/>
      <c r="AO43" s="1"/>
      <c r="AP43" s="1"/>
      <c r="AQ43" s="1"/>
      <c r="AR43" s="1"/>
      <c r="AS43" s="1"/>
      <c r="AT43" s="1"/>
      <c r="AU43" s="1"/>
      <c r="AV43" s="1"/>
      <c r="AW43" s="1"/>
      <c r="AX43" s="1"/>
      <c r="AY43" s="1"/>
      <c r="AZ43" s="1"/>
      <c r="BA43" s="1"/>
      <c r="BB43" s="1"/>
      <c r="BC43" s="1" t="s">
        <v>9</v>
      </c>
      <c r="BD43" s="1">
        <f>SUM(BD39:BD42)</f>
        <v>68.199999999999989</v>
      </c>
      <c r="BE43" s="1"/>
      <c r="BF43" s="1"/>
      <c r="BG43" s="14">
        <f>SUM(BG39:BG42)</f>
        <v>84.218181818181819</v>
      </c>
      <c r="BH43" s="25"/>
      <c r="BI43" s="14">
        <f>SUM(BI39:BI42)</f>
        <v>12.629629629629628</v>
      </c>
      <c r="BJ43" s="25">
        <f t="shared" ref="BJ43:BL43" si="14">SUM(BJ39:BJ42)</f>
        <v>4.6388465377855885</v>
      </c>
      <c r="BK43" s="25">
        <f t="shared" si="14"/>
        <v>12.117919831282952</v>
      </c>
      <c r="BL43" s="25">
        <f t="shared" si="14"/>
        <v>1.4321999999999999</v>
      </c>
      <c r="BM43" s="1"/>
      <c r="BN43" s="1"/>
      <c r="BO43" s="1"/>
      <c r="BP43" s="1"/>
      <c r="BQ43" s="1"/>
      <c r="BR43" s="1"/>
      <c r="BS43" s="1"/>
      <c r="BT43" s="1"/>
      <c r="BU43" s="1"/>
      <c r="BV43" s="1"/>
      <c r="BW43" s="1"/>
      <c r="BX43" s="1"/>
      <c r="BY43" s="1"/>
      <c r="BZ43" s="1"/>
      <c r="CA43" s="1"/>
      <c r="CB43" s="1"/>
      <c r="CC43" s="1"/>
      <c r="CD43" s="1"/>
      <c r="CE43" s="1"/>
      <c r="CF43" s="1"/>
      <c r="CG43" s="1"/>
      <c r="CH43" s="1"/>
      <c r="CI43" s="1"/>
      <c r="CJ43" s="7">
        <v>13</v>
      </c>
      <c r="CK43" s="7">
        <v>32</v>
      </c>
      <c r="CL43" s="7"/>
      <c r="CM43" s="4">
        <v>13000</v>
      </c>
      <c r="CN43" s="4"/>
      <c r="CO43" s="1"/>
      <c r="CP43" s="1"/>
      <c r="CQ43" s="1"/>
      <c r="CR43" s="1"/>
      <c r="CS43" s="1"/>
      <c r="CT43" s="1"/>
      <c r="CU43" s="1"/>
      <c r="CV43" s="1"/>
      <c r="CW43" s="1"/>
      <c r="CX43" s="1"/>
      <c r="CY43" s="1"/>
      <c r="CZ43" s="1"/>
      <c r="DA43" s="1"/>
      <c r="DB43" s="1"/>
      <c r="DC43" s="1"/>
      <c r="DD43" s="1"/>
      <c r="DE43" s="1"/>
      <c r="DF43" s="1"/>
    </row>
    <row r="44" spans="1:111" x14ac:dyDescent="0.45">
      <c r="A44" s="52" t="s">
        <v>173</v>
      </c>
      <c r="B44" s="52"/>
      <c r="C44" s="52"/>
      <c r="D44" s="53" t="str">
        <f>Simplified!D30</f>
        <v>Hourly ($/hr)</v>
      </c>
      <c r="E44" s="1"/>
      <c r="F44" s="52"/>
      <c r="G44" s="52"/>
      <c r="H44" s="52"/>
      <c r="I44" s="52"/>
      <c r="J44" s="52"/>
      <c r="K44" s="78"/>
      <c r="L44" s="78"/>
      <c r="M44" s="78"/>
      <c r="N44" s="78"/>
      <c r="O44" s="78"/>
      <c r="P44" s="78"/>
      <c r="Q44" s="106"/>
      <c r="R44" s="52"/>
      <c r="S44" s="52"/>
      <c r="T44" s="52"/>
      <c r="U44" s="52"/>
      <c r="V44" s="52"/>
      <c r="W44" s="52"/>
      <c r="X44" s="52"/>
      <c r="Y44" s="52"/>
      <c r="Z44" s="52"/>
      <c r="AA44" s="52"/>
      <c r="AB44" s="52"/>
      <c r="AC44" s="52"/>
      <c r="AD44" s="52"/>
      <c r="AE44" s="52"/>
      <c r="AF44" s="1"/>
      <c r="AG44" s="1"/>
      <c r="AH44" s="1" t="s">
        <v>173</v>
      </c>
      <c r="AI44" s="1"/>
      <c r="AJ44" s="1"/>
      <c r="AK44" s="25" t="s">
        <v>142</v>
      </c>
      <c r="AL44" s="25"/>
      <c r="AM44" s="1"/>
      <c r="AN44" s="1"/>
      <c r="AO44" s="1"/>
      <c r="AP44" s="1"/>
      <c r="AQ44" s="1"/>
      <c r="AR44" s="1"/>
      <c r="AS44" s="1"/>
      <c r="AT44" s="1"/>
      <c r="AU44" s="1"/>
      <c r="AV44" s="1"/>
      <c r="AW44" s="1"/>
      <c r="AX44" s="1"/>
      <c r="AY44" s="1"/>
      <c r="AZ44" s="1"/>
      <c r="BA44" s="1"/>
      <c r="BB44" s="1"/>
      <c r="BC44" s="1"/>
      <c r="BD44" s="1"/>
      <c r="BE44" s="1"/>
      <c r="BF44" s="1"/>
      <c r="BG44" s="14"/>
      <c r="BH44" s="25"/>
      <c r="BI44" s="14"/>
      <c r="BJ44" s="25"/>
      <c r="BK44" s="25"/>
      <c r="BL44" s="25"/>
      <c r="BM44" s="25"/>
      <c r="BN44" s="1"/>
      <c r="BO44" s="1"/>
      <c r="BP44" s="1"/>
      <c r="BQ44" s="1"/>
      <c r="BR44" s="1"/>
      <c r="BS44" s="1"/>
      <c r="BT44" s="1"/>
      <c r="BU44" s="1"/>
      <c r="BV44" s="1"/>
      <c r="BW44" s="1"/>
      <c r="BX44" s="1"/>
      <c r="BY44" s="1"/>
      <c r="BZ44" s="1"/>
      <c r="CA44" s="1"/>
      <c r="CB44" s="1"/>
      <c r="CC44" s="1"/>
      <c r="CD44" s="1"/>
      <c r="CE44" s="1"/>
      <c r="CF44" s="1"/>
      <c r="CG44" s="1"/>
      <c r="CH44" s="1"/>
      <c r="CI44" s="1"/>
      <c r="CJ44" s="7">
        <v>13.5</v>
      </c>
      <c r="CK44" s="7">
        <v>32.5</v>
      </c>
      <c r="CL44" s="7"/>
      <c r="CM44" s="4">
        <v>13500</v>
      </c>
      <c r="CN44" s="4"/>
      <c r="CO44" s="1"/>
      <c r="CP44" s="1"/>
      <c r="CQ44" s="1"/>
      <c r="CR44" s="1"/>
      <c r="CS44" s="1"/>
      <c r="CT44" s="1"/>
      <c r="CU44" s="1"/>
      <c r="CV44" s="1"/>
      <c r="CW44" s="1"/>
      <c r="CX44" s="1"/>
      <c r="CY44" s="1"/>
      <c r="CZ44" s="1"/>
      <c r="DA44" s="1"/>
      <c r="DB44" s="1"/>
      <c r="DC44" s="1"/>
      <c r="DD44" s="1"/>
      <c r="DE44" s="1"/>
      <c r="DF44" s="1"/>
      <c r="DG44" s="1"/>
    </row>
    <row r="45" spans="1:111" x14ac:dyDescent="0.45">
      <c r="A45" s="52" t="s">
        <v>97</v>
      </c>
      <c r="B45" s="52"/>
      <c r="C45" s="52"/>
      <c r="D45" s="61">
        <f>Simplified!D31</f>
        <v>26.04</v>
      </c>
      <c r="E45" s="1"/>
      <c r="F45" s="52"/>
      <c r="G45" s="52"/>
      <c r="H45" s="52"/>
      <c r="I45" s="52"/>
      <c r="J45" s="52"/>
      <c r="K45" s="82"/>
      <c r="L45" s="78"/>
      <c r="M45" s="52"/>
      <c r="N45" s="78"/>
      <c r="O45" s="78"/>
      <c r="P45" s="78"/>
      <c r="Q45" s="52"/>
      <c r="R45" s="52"/>
      <c r="S45" s="52"/>
      <c r="T45" s="52"/>
      <c r="U45" s="52"/>
      <c r="V45" s="52"/>
      <c r="W45" s="52"/>
      <c r="X45" s="52"/>
      <c r="Y45" s="52"/>
      <c r="Z45" s="52"/>
      <c r="AA45" s="52"/>
      <c r="AB45" s="52"/>
      <c r="AC45" s="52"/>
      <c r="AD45" s="52"/>
      <c r="AE45" s="52"/>
      <c r="AF45" s="1"/>
      <c r="AG45" s="1"/>
      <c r="AH45" s="1" t="s">
        <v>97</v>
      </c>
      <c r="AI45" s="1"/>
      <c r="AJ45" s="1"/>
      <c r="AK45" s="25">
        <v>26.04</v>
      </c>
      <c r="AL45" s="25"/>
      <c r="AM45" s="1"/>
      <c r="AN45" s="1"/>
      <c r="AO45" s="1"/>
      <c r="AP45" s="1"/>
      <c r="AQ45" s="1"/>
      <c r="AR45" s="1"/>
      <c r="AS45" s="1"/>
      <c r="AT45" s="1"/>
      <c r="AU45" s="1"/>
      <c r="AV45" s="1"/>
      <c r="AW45" s="1"/>
      <c r="AX45" s="1"/>
      <c r="AY45" s="1"/>
      <c r="AZ45" s="1"/>
      <c r="BA45" s="1"/>
      <c r="BB45" s="1"/>
      <c r="BC45" s="1" t="s">
        <v>183</v>
      </c>
      <c r="BD45" s="10">
        <f>1-(2*IF(D67&gt;1,D67/100,D67))</f>
        <v>9.9999999999999978E-2</v>
      </c>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7">
        <v>14</v>
      </c>
      <c r="CK45" s="7">
        <v>33</v>
      </c>
      <c r="CL45" s="7"/>
      <c r="CM45" s="4">
        <v>14000</v>
      </c>
      <c r="CN45" s="4"/>
      <c r="CO45" s="1"/>
      <c r="CP45" s="1"/>
      <c r="CQ45" s="1"/>
      <c r="CR45" s="1"/>
      <c r="CS45" s="1"/>
      <c r="CT45" s="1"/>
      <c r="CU45" s="1"/>
      <c r="CV45" s="1"/>
      <c r="CW45" s="1"/>
      <c r="CX45" s="1"/>
      <c r="CY45" s="1"/>
      <c r="CZ45" s="1"/>
      <c r="DA45" s="1"/>
      <c r="DB45" s="1"/>
      <c r="DC45" s="1"/>
      <c r="DD45" s="1"/>
      <c r="DE45" s="1"/>
      <c r="DF45" s="1"/>
      <c r="DG45" s="1"/>
    </row>
    <row r="46" spans="1:111" x14ac:dyDescent="0.45">
      <c r="A46" s="52"/>
      <c r="B46" s="52"/>
      <c r="C46" s="52"/>
      <c r="D46" s="52"/>
      <c r="E46" s="1"/>
      <c r="F46" s="52"/>
      <c r="G46" s="52"/>
      <c r="H46" s="52"/>
      <c r="I46" s="52"/>
      <c r="J46" s="52"/>
      <c r="K46" s="78"/>
      <c r="L46" s="107"/>
      <c r="M46" s="78"/>
      <c r="N46" s="107"/>
      <c r="O46" s="107"/>
      <c r="P46" s="107"/>
      <c r="Q46" s="108"/>
      <c r="R46" s="52"/>
      <c r="S46" s="52"/>
      <c r="T46" s="52"/>
      <c r="U46" s="52"/>
      <c r="V46" s="52"/>
      <c r="W46" s="52"/>
      <c r="X46" s="52"/>
      <c r="Y46" s="52"/>
      <c r="Z46" s="52"/>
      <c r="AA46" s="52"/>
      <c r="AB46" s="52"/>
      <c r="AC46" s="52"/>
      <c r="AD46" s="52"/>
      <c r="AE46" s="52"/>
      <c r="AF46" s="1"/>
      <c r="AG46" s="1"/>
      <c r="AH46" s="1"/>
      <c r="AI46" s="1"/>
      <c r="AJ46" s="1"/>
      <c r="AK46" s="29"/>
      <c r="AL46" s="25"/>
      <c r="AM46" s="1"/>
      <c r="AN46" s="1"/>
      <c r="AO46" s="1"/>
      <c r="AP46" s="1"/>
      <c r="AQ46" s="1"/>
      <c r="AR46" s="1"/>
      <c r="AS46" s="1"/>
      <c r="AT46" s="1"/>
      <c r="AU46" s="1"/>
      <c r="AV46" s="1"/>
      <c r="AW46" s="1"/>
      <c r="AX46" s="1"/>
      <c r="AY46" s="1"/>
      <c r="AZ46" s="1"/>
      <c r="BA46" s="1"/>
      <c r="BB46" s="1"/>
      <c r="BC46" s="1" t="s">
        <v>184</v>
      </c>
      <c r="BD46" s="1">
        <f>BD45*(SUM(D60:D61)*2)</f>
        <v>6.1999999999999984</v>
      </c>
      <c r="BE46" s="1"/>
      <c r="BF46" s="1"/>
      <c r="BG46" s="1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7"/>
      <c r="CK46" s="7">
        <v>33.5</v>
      </c>
      <c r="CL46" s="7"/>
      <c r="CM46" s="4">
        <v>14500</v>
      </c>
      <c r="CN46" s="4"/>
      <c r="CO46" s="1"/>
      <c r="CP46" s="1"/>
      <c r="CQ46" s="1"/>
      <c r="CR46" s="1"/>
      <c r="CS46" s="1"/>
      <c r="CT46" s="1"/>
      <c r="CU46" s="1"/>
      <c r="CV46" s="1"/>
      <c r="CW46" s="1"/>
      <c r="CX46" s="1"/>
      <c r="CY46" s="1"/>
      <c r="CZ46" s="1"/>
      <c r="DA46" s="1"/>
      <c r="DB46" s="1"/>
      <c r="DC46" s="1"/>
      <c r="DD46" s="1"/>
      <c r="DE46" s="1"/>
      <c r="DF46" s="1"/>
      <c r="DG46" s="1"/>
    </row>
    <row r="47" spans="1:111" x14ac:dyDescent="0.45">
      <c r="A47" s="52" t="s">
        <v>121</v>
      </c>
      <c r="B47" s="52"/>
      <c r="C47" s="52"/>
      <c r="D47" s="61" t="str">
        <f>Simplified!D33</f>
        <v>N</v>
      </c>
      <c r="E47" s="36"/>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1"/>
      <c r="AG47" s="1"/>
      <c r="AH47" s="1" t="s">
        <v>121</v>
      </c>
      <c r="AI47" s="1"/>
      <c r="AJ47" s="1"/>
      <c r="AK47" s="25" t="s">
        <v>57</v>
      </c>
      <c r="AL47" s="25"/>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P47" s="1"/>
      <c r="BQ47" s="1"/>
      <c r="BR47" s="1"/>
      <c r="BS47" s="1"/>
      <c r="BT47" s="1"/>
      <c r="BU47" s="1"/>
      <c r="BV47" s="1"/>
      <c r="BW47" s="1"/>
      <c r="BX47" s="1"/>
      <c r="BY47" s="1"/>
      <c r="BZ47" s="1"/>
      <c r="CA47" s="1"/>
      <c r="CB47" s="1"/>
      <c r="CC47" s="1"/>
      <c r="CD47" s="1"/>
      <c r="CE47" s="1"/>
      <c r="CF47" s="1"/>
      <c r="CG47" s="1"/>
      <c r="CH47" s="1"/>
      <c r="CI47" s="1"/>
      <c r="CJ47" s="7"/>
      <c r="CK47" s="7">
        <v>34</v>
      </c>
      <c r="CL47" s="7"/>
      <c r="CM47" s="4">
        <v>15000</v>
      </c>
      <c r="CN47" s="4"/>
      <c r="CO47" s="1"/>
      <c r="CP47" s="1"/>
      <c r="CQ47" s="1"/>
      <c r="CR47" s="1"/>
      <c r="CS47" s="1"/>
      <c r="CT47" s="1"/>
      <c r="CU47" s="1"/>
      <c r="CV47" s="1"/>
      <c r="CW47" s="1"/>
      <c r="CX47" s="1"/>
      <c r="CY47" s="1"/>
      <c r="CZ47" s="1"/>
      <c r="DA47" s="1"/>
      <c r="DB47" s="1"/>
      <c r="DC47" s="1"/>
      <c r="DD47" s="1"/>
      <c r="DE47" s="1"/>
      <c r="DF47" s="1"/>
      <c r="DG47" s="1"/>
    </row>
    <row r="48" spans="1:111" x14ac:dyDescent="0.45">
      <c r="A48" s="52" t="s">
        <v>166</v>
      </c>
      <c r="B48" s="52"/>
      <c r="C48" s="52"/>
      <c r="D48" s="52"/>
      <c r="E48" s="35">
        <v>0.3</v>
      </c>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1"/>
      <c r="AG48" s="1"/>
      <c r="AH48" s="1" t="s">
        <v>166</v>
      </c>
      <c r="AI48" s="1"/>
      <c r="AJ48" s="1"/>
      <c r="AK48" s="25"/>
      <c r="AL48" s="25">
        <v>0.3</v>
      </c>
      <c r="AM48" s="1"/>
      <c r="AN48" s="1"/>
      <c r="AO48" s="1"/>
      <c r="AP48" s="1"/>
      <c r="AQ48" s="1"/>
      <c r="AR48" s="1"/>
      <c r="AS48" s="1"/>
      <c r="AT48" s="1"/>
      <c r="AU48" s="1"/>
      <c r="AV48" s="1"/>
      <c r="AW48" s="1"/>
      <c r="AX48" s="1"/>
      <c r="AY48" s="1"/>
      <c r="AZ48" s="1"/>
      <c r="BA48" s="1"/>
      <c r="BB48" s="1"/>
      <c r="BC48" s="3" t="s">
        <v>25</v>
      </c>
      <c r="BD48" s="1"/>
      <c r="BE48" s="1"/>
      <c r="BF48" s="1"/>
      <c r="BG48" s="1"/>
      <c r="BH48" s="3" t="s">
        <v>99</v>
      </c>
      <c r="BI48" s="1" t="s">
        <v>40</v>
      </c>
      <c r="BJ48" s="1"/>
      <c r="BK48" s="1"/>
      <c r="BL48" s="3" t="s">
        <v>89</v>
      </c>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4">
        <v>15500</v>
      </c>
      <c r="CN48" s="4"/>
      <c r="CO48" s="1"/>
      <c r="CP48" s="1"/>
      <c r="CQ48" s="1"/>
      <c r="CR48" s="1"/>
      <c r="CS48" s="1"/>
      <c r="CT48" s="1"/>
      <c r="CU48" s="1"/>
      <c r="CV48" s="1"/>
      <c r="CW48" s="1"/>
      <c r="CX48" s="1"/>
      <c r="CY48" s="1"/>
      <c r="CZ48" s="1"/>
      <c r="DA48" s="1"/>
      <c r="DB48" s="1"/>
      <c r="DC48" s="1"/>
      <c r="DD48" s="1"/>
      <c r="DE48" s="1"/>
      <c r="DF48" s="1"/>
      <c r="DG48" s="1"/>
    </row>
    <row r="49" spans="1:111" x14ac:dyDescent="0.45">
      <c r="A49" s="52"/>
      <c r="B49" s="52"/>
      <c r="C49" s="52"/>
      <c r="D49" s="52"/>
      <c r="E49" s="1"/>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1"/>
      <c r="AG49" s="1"/>
      <c r="AH49" s="1"/>
      <c r="AI49" s="1"/>
      <c r="AJ49" s="1"/>
      <c r="AK49" s="25"/>
      <c r="AL49" s="25"/>
      <c r="AM49" s="1"/>
      <c r="AN49" s="1"/>
      <c r="AO49" s="1"/>
      <c r="AP49" s="1"/>
      <c r="AQ49" s="1"/>
      <c r="AR49" s="1"/>
      <c r="AS49" s="1"/>
      <c r="AT49" s="1"/>
      <c r="AU49" s="1"/>
      <c r="AV49" s="1"/>
      <c r="AW49" s="1"/>
      <c r="AX49" s="1"/>
      <c r="AY49" s="1"/>
      <c r="AZ49" s="1"/>
      <c r="BA49" s="1"/>
      <c r="BB49" s="1"/>
      <c r="BC49" s="1" t="s">
        <v>26</v>
      </c>
      <c r="BD49" s="1"/>
      <c r="BE49" s="1"/>
      <c r="BF49" s="14">
        <f>BG43</f>
        <v>84.218181818181819</v>
      </c>
      <c r="BG49" s="1"/>
      <c r="BH49" s="1" t="s">
        <v>14</v>
      </c>
      <c r="BI49" s="113">
        <f>BV30</f>
        <v>6.8018277680140599E-2</v>
      </c>
      <c r="BJ49" s="1"/>
      <c r="BK49" s="1"/>
      <c r="BL49" s="1" t="s">
        <v>136</v>
      </c>
      <c r="BM49" s="1"/>
      <c r="BN49" s="25" t="str">
        <f>E55</f>
        <v>Salary ($/yr)</v>
      </c>
      <c r="BO49" s="1"/>
      <c r="BP49" s="1"/>
      <c r="BQ49" s="1"/>
      <c r="BR49" s="1"/>
      <c r="BS49" s="1"/>
      <c r="BT49" s="1"/>
      <c r="BU49" s="1"/>
      <c r="BV49" s="1"/>
      <c r="BW49" s="1"/>
      <c r="BX49" s="1"/>
      <c r="BY49" s="1"/>
      <c r="BZ49" s="1"/>
      <c r="CA49" s="1"/>
      <c r="CB49" s="1"/>
      <c r="CC49" s="1"/>
      <c r="CD49" s="1"/>
      <c r="CE49" s="1"/>
      <c r="CF49" s="1"/>
      <c r="CG49" s="1"/>
      <c r="CH49" s="1"/>
      <c r="CI49" s="1"/>
      <c r="CJ49" s="1"/>
      <c r="CK49" s="1"/>
      <c r="CL49" s="1"/>
      <c r="CM49" s="4">
        <v>16000</v>
      </c>
      <c r="CN49" s="4"/>
      <c r="CO49" s="1"/>
      <c r="CP49" s="1"/>
      <c r="CQ49" s="1"/>
      <c r="CR49" s="1"/>
      <c r="CS49" s="1"/>
      <c r="CT49" s="1"/>
      <c r="CU49" s="1"/>
      <c r="CV49" s="1"/>
      <c r="CW49" s="1"/>
      <c r="CX49" s="1"/>
      <c r="CY49" s="1"/>
      <c r="CZ49" s="1"/>
      <c r="DA49" s="1"/>
      <c r="DB49" s="1"/>
      <c r="DC49" s="1"/>
      <c r="DD49" s="1"/>
      <c r="DE49" s="1"/>
      <c r="DF49" s="1"/>
      <c r="DG49" s="1"/>
    </row>
    <row r="50" spans="1:111" x14ac:dyDescent="0.45">
      <c r="A50" s="52" t="s">
        <v>122</v>
      </c>
      <c r="B50" s="52"/>
      <c r="C50" s="52"/>
      <c r="D50" s="52"/>
      <c r="E50" s="34" t="s">
        <v>66</v>
      </c>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1"/>
      <c r="AG50" s="1"/>
      <c r="AH50" s="1" t="s">
        <v>122</v>
      </c>
      <c r="AI50" s="1"/>
      <c r="AJ50" s="1"/>
      <c r="AK50" s="25"/>
      <c r="AL50" s="25" t="s">
        <v>66</v>
      </c>
      <c r="AM50" s="1"/>
      <c r="AN50" s="1"/>
      <c r="AO50" s="1"/>
      <c r="AP50" s="1"/>
      <c r="AQ50" s="1"/>
      <c r="AR50" s="1"/>
      <c r="AS50" s="1"/>
      <c r="AT50" s="1"/>
      <c r="AU50" s="1"/>
      <c r="AV50" s="1"/>
      <c r="AW50" s="1"/>
      <c r="AX50" s="1"/>
      <c r="AY50" s="1"/>
      <c r="AZ50" s="1"/>
      <c r="BA50" s="1"/>
      <c r="BB50" s="1"/>
      <c r="BC50" s="1" t="s">
        <v>27</v>
      </c>
      <c r="BD50" s="1" t="s">
        <v>28</v>
      </c>
      <c r="BE50" s="1"/>
      <c r="BF50" s="25">
        <f>D65</f>
        <v>30</v>
      </c>
      <c r="BG50" s="1"/>
      <c r="BH50" s="1" t="s">
        <v>58</v>
      </c>
      <c r="BI50" s="113">
        <f>BV31</f>
        <v>0.17768210896309314</v>
      </c>
      <c r="BJ50" s="1"/>
      <c r="BK50" s="1"/>
      <c r="BL50" s="1" t="s">
        <v>137</v>
      </c>
      <c r="BM50" s="1"/>
      <c r="BN50" s="14" cm="1">
        <f t="array" ref="BN50">_xlfn.IFS(BN49="Salary ($/yr)", IF(E56&gt;0.1, IF(E56&lt;=200, (E56*1000)/D14/E52/E53, E56/D14/E52/E53), BS33/D14/E52/E53),BN49="Weekly ($/wk)",IF(E56&gt;0.1, E56/E52/E53, BS36/E52/E53),BN49="Daily ($/day)",IF(E56&gt;10, E56/D16, BS37/E53),BN49="Hourly ($/hr)", IF(E56&gt;10, E56, BS38),TRUE, 0)</f>
        <v>28.5</v>
      </c>
      <c r="BO50" s="1" t="s">
        <v>145</v>
      </c>
      <c r="BP50" s="1"/>
      <c r="BQ50" s="1"/>
      <c r="BR50" s="1"/>
      <c r="BS50" s="1"/>
      <c r="BT50" s="1"/>
      <c r="BU50" s="1"/>
      <c r="BV50" s="1"/>
      <c r="BW50" s="1"/>
      <c r="BX50" s="1"/>
      <c r="BY50" s="1"/>
      <c r="BZ50" s="1"/>
      <c r="CA50" s="1"/>
      <c r="CB50" s="1"/>
      <c r="CC50" s="1"/>
      <c r="CD50" s="1"/>
      <c r="CE50" s="1"/>
      <c r="CF50" s="1"/>
      <c r="CG50" s="1"/>
      <c r="CH50" s="1"/>
      <c r="CI50" s="1"/>
      <c r="CJ50" s="1"/>
      <c r="CK50" s="1"/>
      <c r="CL50" s="1"/>
      <c r="CM50" s="4">
        <v>16500</v>
      </c>
      <c r="CN50" s="4"/>
      <c r="CO50" s="1"/>
      <c r="CP50" s="1"/>
      <c r="CQ50" s="1"/>
      <c r="CR50" s="1"/>
      <c r="CS50" s="1"/>
      <c r="CT50" s="1"/>
      <c r="CU50" s="1"/>
      <c r="CV50" s="1"/>
      <c r="CW50" s="1"/>
      <c r="CX50" s="1"/>
      <c r="CY50" s="1"/>
      <c r="CZ50" s="1"/>
      <c r="DA50" s="1"/>
      <c r="DB50" s="1"/>
      <c r="DC50" s="1"/>
      <c r="DD50" s="1"/>
      <c r="DE50" s="1"/>
      <c r="DF50" s="1"/>
      <c r="DG50" s="1"/>
    </row>
    <row r="51" spans="1:111" x14ac:dyDescent="0.45">
      <c r="A51" s="52" t="s">
        <v>98</v>
      </c>
      <c r="B51" s="52"/>
      <c r="C51" s="52"/>
      <c r="D51" s="52"/>
      <c r="E51" s="31">
        <v>1</v>
      </c>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1"/>
      <c r="AG51" s="1"/>
      <c r="AH51" s="1" t="s">
        <v>98</v>
      </c>
      <c r="AI51" s="1"/>
      <c r="AJ51" s="1"/>
      <c r="AK51" s="25"/>
      <c r="AL51" s="25">
        <v>1</v>
      </c>
      <c r="AM51" s="1"/>
      <c r="AN51" s="1"/>
      <c r="AO51" s="1"/>
      <c r="AP51" s="1"/>
      <c r="AQ51" s="1"/>
      <c r="AR51" s="1"/>
      <c r="AS51" s="1"/>
      <c r="AT51" s="1"/>
      <c r="AU51" s="1"/>
      <c r="AV51" s="1"/>
      <c r="AW51" s="1"/>
      <c r="AX51" s="1"/>
      <c r="AY51" s="1"/>
      <c r="AZ51" s="1"/>
      <c r="BA51" s="1"/>
      <c r="BB51" s="1"/>
      <c r="BC51" s="1"/>
      <c r="BD51" s="1" t="s">
        <v>29</v>
      </c>
      <c r="BE51" s="1"/>
      <c r="BF51" s="25">
        <f>D66</f>
        <v>60</v>
      </c>
      <c r="BG51" s="1"/>
      <c r="BH51" s="1" t="s">
        <v>59</v>
      </c>
      <c r="BI51" s="1">
        <v>2.1000000000000001E-2</v>
      </c>
      <c r="BK51" s="1"/>
      <c r="BL51" s="1" t="s">
        <v>146</v>
      </c>
      <c r="BM51" s="1"/>
      <c r="BN51" s="14">
        <f>BN50*E53</f>
        <v>228</v>
      </c>
      <c r="BO51" s="1" t="s">
        <v>147</v>
      </c>
      <c r="BP51" s="1"/>
      <c r="BQ51" s="1"/>
      <c r="BR51" s="1"/>
      <c r="BS51" s="1"/>
      <c r="BT51" s="1"/>
      <c r="BU51" s="1"/>
      <c r="BV51" s="1"/>
      <c r="BW51" s="1"/>
      <c r="BX51" s="1"/>
      <c r="BY51" s="1"/>
      <c r="BZ51" s="1"/>
      <c r="CA51" s="1"/>
      <c r="CB51" s="1"/>
      <c r="CC51" s="1"/>
      <c r="CD51" s="1"/>
      <c r="CE51" s="1"/>
      <c r="CF51" s="1"/>
      <c r="CG51" s="1"/>
      <c r="CH51" s="1"/>
      <c r="CI51" s="1"/>
      <c r="CJ51" s="1"/>
      <c r="CK51" s="1"/>
      <c r="CL51" s="1"/>
      <c r="CM51" s="4">
        <v>17000</v>
      </c>
      <c r="CN51" s="4"/>
      <c r="CO51" s="1"/>
      <c r="CP51" s="1"/>
      <c r="CQ51" s="1"/>
      <c r="CR51" s="1"/>
      <c r="CS51" s="1"/>
      <c r="CT51" s="1"/>
      <c r="CU51" s="1"/>
      <c r="CV51" s="1"/>
      <c r="CW51" s="1"/>
      <c r="CX51" s="1"/>
      <c r="CY51" s="1"/>
      <c r="CZ51" s="1"/>
      <c r="DA51" s="1"/>
      <c r="DB51" s="1"/>
      <c r="DC51" s="1"/>
      <c r="DD51" s="1"/>
      <c r="DE51" s="1"/>
      <c r="DF51" s="1"/>
      <c r="DG51" s="1"/>
    </row>
    <row r="52" spans="1:111" x14ac:dyDescent="0.45">
      <c r="A52" s="52" t="s">
        <v>126</v>
      </c>
      <c r="B52" s="52"/>
      <c r="C52" s="52"/>
      <c r="D52" s="52"/>
      <c r="E52" s="34">
        <v>5</v>
      </c>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1"/>
      <c r="AG52" s="1"/>
      <c r="AH52" s="1" t="s">
        <v>126</v>
      </c>
      <c r="AI52" s="1"/>
      <c r="AJ52" s="1"/>
      <c r="AK52" s="25"/>
      <c r="AL52" s="25">
        <v>5</v>
      </c>
      <c r="AM52" s="1"/>
      <c r="AN52" s="1"/>
      <c r="AO52" s="1"/>
      <c r="AP52" s="1"/>
      <c r="AQ52" s="1"/>
      <c r="AR52" s="1"/>
      <c r="AS52" s="1"/>
      <c r="AT52" s="1"/>
      <c r="AU52" s="1"/>
      <c r="AV52" s="1"/>
      <c r="AW52" s="1"/>
      <c r="AX52" s="1"/>
      <c r="AY52" s="1"/>
      <c r="AZ52" s="1"/>
      <c r="BA52" s="1"/>
      <c r="BB52" s="1"/>
      <c r="BC52" s="1"/>
      <c r="BD52" s="1" t="s">
        <v>30</v>
      </c>
      <c r="BE52" s="1"/>
      <c r="BF52" s="25">
        <f>E68</f>
        <v>5</v>
      </c>
      <c r="BG52" s="1"/>
      <c r="BH52" s="1" t="s">
        <v>9</v>
      </c>
      <c r="BI52" s="11">
        <f>SUM(BI49:BI51)</f>
        <v>0.26670038664323376</v>
      </c>
      <c r="BJ52" s="1"/>
      <c r="BK52" s="1"/>
      <c r="BL52" s="1" t="s">
        <v>156</v>
      </c>
      <c r="BM52" s="1"/>
      <c r="BN52" s="14">
        <f>(BN51*E51)/E54</f>
        <v>22.8</v>
      </c>
      <c r="BO52" s="1" t="s">
        <v>148</v>
      </c>
      <c r="BP52" s="1"/>
      <c r="BQ52" s="1"/>
      <c r="BR52" s="1"/>
      <c r="BS52" s="1"/>
      <c r="BT52" s="1"/>
      <c r="BU52" s="1"/>
      <c r="BV52" s="1"/>
      <c r="BW52" s="1"/>
      <c r="BX52" s="1"/>
      <c r="BY52" s="1"/>
      <c r="BZ52" s="1"/>
      <c r="CA52" s="1"/>
      <c r="CB52" s="1"/>
      <c r="CC52" s="1"/>
      <c r="CD52" s="1"/>
      <c r="CE52" s="1"/>
      <c r="CF52" s="1"/>
      <c r="CG52" s="1"/>
      <c r="CH52" s="1"/>
      <c r="CI52" s="1"/>
      <c r="CJ52" s="1"/>
      <c r="CK52" s="1"/>
      <c r="CL52" s="1"/>
      <c r="CM52" s="4">
        <v>17500</v>
      </c>
      <c r="CN52" s="4"/>
      <c r="CO52" s="1"/>
      <c r="CP52" s="1"/>
      <c r="CQ52" s="1"/>
      <c r="CR52" s="1"/>
      <c r="CS52" s="1"/>
      <c r="CT52" s="1"/>
      <c r="CU52" s="1"/>
      <c r="CV52" s="1"/>
      <c r="CW52" s="1"/>
      <c r="CX52" s="1"/>
      <c r="CY52" s="1"/>
      <c r="CZ52" s="1"/>
      <c r="DA52" s="1"/>
      <c r="DB52" s="1"/>
      <c r="DC52" s="1"/>
      <c r="DD52" s="1"/>
      <c r="DE52" s="1"/>
      <c r="DF52" s="1"/>
      <c r="DG52" s="1"/>
    </row>
    <row r="53" spans="1:111" x14ac:dyDescent="0.45">
      <c r="A53" s="52" t="s">
        <v>125</v>
      </c>
      <c r="B53" s="52"/>
      <c r="C53" s="52"/>
      <c r="D53" s="52"/>
      <c r="E53" s="34">
        <v>8</v>
      </c>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1"/>
      <c r="AG53" s="1"/>
      <c r="AH53" s="1" t="s">
        <v>125</v>
      </c>
      <c r="AI53" s="1"/>
      <c r="AJ53" s="1"/>
      <c r="AK53" s="25"/>
      <c r="AL53" s="25">
        <v>8</v>
      </c>
      <c r="AM53" s="1"/>
      <c r="AN53" s="1"/>
      <c r="AO53" s="1"/>
      <c r="AP53" s="1"/>
      <c r="AQ53" s="1"/>
      <c r="AR53" s="1"/>
      <c r="AS53" s="1"/>
      <c r="AT53" s="1"/>
      <c r="AU53" s="1"/>
      <c r="AV53" s="1"/>
      <c r="AW53" s="1"/>
      <c r="AX53" s="1"/>
      <c r="AY53" s="1"/>
      <c r="AZ53" s="1"/>
      <c r="BA53" s="1"/>
      <c r="BB53" s="1"/>
      <c r="BC53" s="1" t="s">
        <v>9</v>
      </c>
      <c r="BD53" s="1"/>
      <c r="BE53" s="1"/>
      <c r="BF53" s="15">
        <f>SUM(BF49:BF52)</f>
        <v>179.21818181818182</v>
      </c>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4">
        <v>18000</v>
      </c>
      <c r="CN53" s="4"/>
      <c r="CO53" s="1"/>
      <c r="CP53" s="1"/>
      <c r="CQ53" s="1"/>
      <c r="CR53" s="1"/>
      <c r="CS53" s="1"/>
      <c r="CT53" s="1"/>
      <c r="CU53" s="1"/>
      <c r="CV53" s="1"/>
      <c r="CW53" s="1"/>
      <c r="CX53" s="1"/>
      <c r="CY53" s="1"/>
      <c r="CZ53" s="1"/>
      <c r="DA53" s="1"/>
      <c r="DB53" s="1"/>
      <c r="DC53" s="1"/>
      <c r="DD53" s="1"/>
      <c r="DE53" s="1"/>
      <c r="DF53" s="1"/>
      <c r="DG53" s="1"/>
    </row>
    <row r="54" spans="1:111" x14ac:dyDescent="0.45">
      <c r="A54" s="52" t="s">
        <v>138</v>
      </c>
      <c r="B54" s="52"/>
      <c r="C54" s="52"/>
      <c r="D54" s="52"/>
      <c r="E54" s="34">
        <v>10</v>
      </c>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1"/>
      <c r="AG54" s="1"/>
      <c r="AH54" s="1" t="s">
        <v>138</v>
      </c>
      <c r="AI54" s="1"/>
      <c r="AJ54" s="1"/>
      <c r="AK54" s="25"/>
      <c r="AL54" s="25">
        <v>10</v>
      </c>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4">
        <v>18500</v>
      </c>
      <c r="CN54" s="4"/>
      <c r="CO54" s="1"/>
      <c r="CP54" s="1"/>
      <c r="CQ54" s="1"/>
      <c r="CR54" s="1"/>
      <c r="CS54" s="1"/>
      <c r="CT54" s="1"/>
      <c r="CU54" s="1"/>
      <c r="CV54" s="1"/>
      <c r="CW54" s="1"/>
      <c r="CX54" s="1"/>
      <c r="CY54" s="1"/>
      <c r="CZ54" s="1"/>
      <c r="DA54" s="1"/>
      <c r="DB54" s="1"/>
      <c r="DC54" s="1"/>
      <c r="DD54" s="1"/>
      <c r="DE54" s="1"/>
      <c r="DF54" s="1"/>
      <c r="DG54" s="1"/>
    </row>
    <row r="55" spans="1:111" x14ac:dyDescent="0.45">
      <c r="A55" s="52" t="s">
        <v>174</v>
      </c>
      <c r="B55" s="52"/>
      <c r="C55" s="52"/>
      <c r="D55" s="52"/>
      <c r="E55" s="37" t="s">
        <v>139</v>
      </c>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1"/>
      <c r="AG55" s="1"/>
      <c r="AH55" s="1" t="s">
        <v>174</v>
      </c>
      <c r="AI55" s="1"/>
      <c r="AJ55" s="1"/>
      <c r="AK55" s="25"/>
      <c r="AL55" s="25" t="s">
        <v>139</v>
      </c>
      <c r="AM55" s="1"/>
      <c r="AN55" s="1"/>
      <c r="AO55" s="1"/>
      <c r="AP55" s="1"/>
      <c r="AQ55" s="1"/>
      <c r="AR55" s="1"/>
      <c r="AS55" s="1"/>
      <c r="AT55" s="1"/>
      <c r="AU55" s="1"/>
      <c r="AV55" s="1"/>
      <c r="AW55" s="1"/>
      <c r="AX55" s="1"/>
      <c r="AY55" s="1"/>
      <c r="AZ55" s="1"/>
      <c r="BA55" s="1"/>
      <c r="BB55" s="1"/>
      <c r="BC55" s="3" t="s">
        <v>31</v>
      </c>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4">
        <v>19000</v>
      </c>
      <c r="CN55" s="4"/>
      <c r="CO55" s="1"/>
      <c r="CP55" s="1"/>
      <c r="CQ55" s="1"/>
      <c r="CR55" s="1"/>
      <c r="CS55" s="1"/>
      <c r="CT55" s="1"/>
      <c r="CU55" s="1"/>
      <c r="CV55" s="1"/>
      <c r="CW55" s="1"/>
      <c r="CX55" s="1"/>
      <c r="CY55" s="1"/>
      <c r="CZ55" s="1"/>
      <c r="DA55" s="1"/>
      <c r="DB55" s="1"/>
      <c r="DC55" s="1"/>
      <c r="DD55" s="1"/>
      <c r="DE55" s="1"/>
      <c r="DF55" s="1"/>
      <c r="DG55" s="1"/>
    </row>
    <row r="56" spans="1:111" x14ac:dyDescent="0.45">
      <c r="A56" s="52" t="s">
        <v>137</v>
      </c>
      <c r="B56" s="52"/>
      <c r="C56" s="52"/>
      <c r="D56" s="52"/>
      <c r="E56" s="33">
        <v>57000</v>
      </c>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1"/>
      <c r="AG56" s="1"/>
      <c r="AH56" s="1" t="s">
        <v>137</v>
      </c>
      <c r="AI56" s="1"/>
      <c r="AJ56" s="1"/>
      <c r="AK56" s="25"/>
      <c r="AL56" s="25">
        <v>57000</v>
      </c>
      <c r="AM56" s="1"/>
      <c r="AN56" s="1"/>
      <c r="AO56" s="1"/>
      <c r="AP56" s="1"/>
      <c r="AQ56" s="1"/>
      <c r="AR56" s="1"/>
      <c r="AS56" s="1"/>
      <c r="AT56" s="1"/>
      <c r="AU56" s="1"/>
      <c r="AV56" s="1"/>
      <c r="AW56" s="1"/>
      <c r="AX56" s="1"/>
      <c r="AY56" s="1"/>
      <c r="AZ56" s="1"/>
      <c r="BA56" s="1"/>
      <c r="BB56" s="1"/>
      <c r="BC56" s="1"/>
      <c r="BD56" s="1" t="s">
        <v>32</v>
      </c>
      <c r="BE56" s="99">
        <f>((D16*60)/BF53)</f>
        <v>3.3478746068783605</v>
      </c>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4">
        <v>19500</v>
      </c>
      <c r="CN56" s="4"/>
      <c r="CO56" s="1"/>
      <c r="CP56" s="1"/>
      <c r="CQ56" s="1"/>
      <c r="CR56" s="1"/>
      <c r="CS56" s="1"/>
      <c r="CT56" s="1"/>
      <c r="CU56" s="1"/>
      <c r="CV56" s="1"/>
      <c r="CW56" s="1"/>
      <c r="CX56" s="1"/>
      <c r="CY56" s="1"/>
      <c r="CZ56" s="1"/>
      <c r="DA56" s="1"/>
      <c r="DB56" s="1"/>
      <c r="DC56" s="1"/>
      <c r="DD56" s="1"/>
      <c r="DE56" s="1"/>
      <c r="DF56" s="1"/>
      <c r="DG56" s="1"/>
    </row>
    <row r="57" spans="1:111" x14ac:dyDescent="0.45">
      <c r="A57" s="52"/>
      <c r="B57" s="52"/>
      <c r="C57" s="52"/>
      <c r="D57" s="52"/>
      <c r="E57" s="1"/>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1"/>
      <c r="AG57" s="1"/>
      <c r="AH57" s="1"/>
      <c r="AI57" s="1"/>
      <c r="AJ57" s="1"/>
      <c r="AK57" s="25"/>
      <c r="AL57" s="25"/>
      <c r="AM57" s="1"/>
      <c r="AN57" s="1"/>
      <c r="AO57" s="1"/>
      <c r="AP57" s="1"/>
      <c r="AQ57" s="1"/>
      <c r="AR57" s="1"/>
      <c r="AS57" s="1"/>
      <c r="AT57" s="1"/>
      <c r="AU57" s="1"/>
      <c r="AV57" s="1"/>
      <c r="AW57" s="1"/>
      <c r="AX57" s="1"/>
      <c r="AY57" s="1"/>
      <c r="AZ57" s="1"/>
      <c r="BA57" s="1"/>
      <c r="BB57" s="1"/>
      <c r="BC57" s="1"/>
      <c r="BD57" s="1" t="s">
        <v>33</v>
      </c>
      <c r="BE57" s="100">
        <f>INT(BE56)</f>
        <v>3</v>
      </c>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4">
        <v>20000</v>
      </c>
      <c r="CN57" s="4"/>
      <c r="CO57" s="1"/>
      <c r="CP57" s="1"/>
      <c r="CQ57" s="1"/>
      <c r="CR57" s="1"/>
      <c r="CS57" s="1"/>
      <c r="CT57" s="1"/>
      <c r="CU57" s="1"/>
      <c r="CV57" s="1"/>
      <c r="CW57" s="1"/>
      <c r="CX57" s="1"/>
      <c r="CY57" s="1"/>
      <c r="CZ57" s="1"/>
      <c r="DA57" s="1"/>
      <c r="DB57" s="1"/>
      <c r="DC57" s="1"/>
      <c r="DD57" s="1"/>
      <c r="DE57" s="1"/>
      <c r="DF57" s="1"/>
      <c r="DG57" s="1"/>
    </row>
    <row r="58" spans="1:111" x14ac:dyDescent="0.45">
      <c r="A58" s="57" t="s">
        <v>65</v>
      </c>
      <c r="B58" s="52"/>
      <c r="C58" s="52"/>
      <c r="D58" s="55"/>
      <c r="E58" s="1"/>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1"/>
      <c r="AG58" s="1"/>
      <c r="AH58" s="1" t="s">
        <v>65</v>
      </c>
      <c r="AI58" s="1"/>
      <c r="AJ58" s="1"/>
      <c r="AK58" s="25"/>
      <c r="AL58" s="25"/>
      <c r="AM58" s="1"/>
      <c r="AN58" s="1"/>
      <c r="AO58" s="1"/>
      <c r="AP58" s="1"/>
      <c r="AQ58" s="1"/>
      <c r="AR58" s="1"/>
      <c r="AS58" s="1"/>
      <c r="AT58" s="1"/>
      <c r="AU58" s="1"/>
      <c r="AV58" s="1"/>
      <c r="AW58" s="1"/>
      <c r="AX58" s="1"/>
      <c r="AY58" s="1"/>
      <c r="AZ58" s="1"/>
      <c r="BA58" s="1"/>
      <c r="BB58" s="1"/>
      <c r="BC58" s="1"/>
      <c r="BD58" s="1"/>
      <c r="BE58" s="99">
        <f>BE57+1</f>
        <v>4</v>
      </c>
      <c r="BF58" s="11">
        <f>BE58*BF53</f>
        <v>716.87272727272727</v>
      </c>
      <c r="BG58" s="1" t="s">
        <v>51</v>
      </c>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4">
        <v>20500</v>
      </c>
      <c r="CN58" s="4"/>
      <c r="CO58" s="1"/>
      <c r="CP58" s="1"/>
      <c r="CQ58" s="1"/>
      <c r="CR58" s="1"/>
      <c r="CS58" s="1"/>
      <c r="CT58" s="1"/>
      <c r="CU58" s="1"/>
      <c r="CV58" s="1"/>
      <c r="CW58" s="1"/>
      <c r="CX58" s="1"/>
      <c r="CY58" s="1"/>
      <c r="CZ58" s="1"/>
      <c r="DA58" s="1"/>
      <c r="DB58" s="1"/>
      <c r="DC58" s="1"/>
      <c r="DD58" s="1"/>
      <c r="DE58" s="1"/>
      <c r="DF58" s="1"/>
      <c r="DG58" s="1"/>
    </row>
    <row r="59" spans="1:111" x14ac:dyDescent="0.45">
      <c r="A59" s="62" t="s">
        <v>16</v>
      </c>
      <c r="B59" s="52"/>
      <c r="C59" s="52"/>
      <c r="D59" s="63" t="s">
        <v>181</v>
      </c>
      <c r="E59" s="1"/>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1"/>
      <c r="AG59" s="1"/>
      <c r="AH59" s="1" t="s">
        <v>16</v>
      </c>
      <c r="AI59" s="1"/>
      <c r="AJ59" s="1"/>
      <c r="AK59" s="25" t="s">
        <v>160</v>
      </c>
      <c r="AL59" s="25"/>
      <c r="AM59" s="1"/>
      <c r="AN59" s="1"/>
      <c r="AO59" s="1"/>
      <c r="AP59" s="1"/>
      <c r="AQ59" s="1"/>
      <c r="AR59" s="1"/>
      <c r="AS59" s="1"/>
      <c r="AT59" s="1"/>
      <c r="AU59" s="1"/>
      <c r="AV59" s="1"/>
      <c r="AW59" s="1"/>
      <c r="AX59" s="1"/>
      <c r="AY59" s="1"/>
      <c r="AZ59" s="1"/>
      <c r="BA59" s="1"/>
      <c r="BB59" s="1"/>
      <c r="BC59" s="1"/>
      <c r="BD59" s="1"/>
      <c r="BE59" s="100"/>
      <c r="BF59" s="1">
        <f>D16*60</f>
        <v>600</v>
      </c>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4">
        <v>21000</v>
      </c>
      <c r="CN59" s="4"/>
      <c r="CO59" s="1"/>
      <c r="CP59" s="1"/>
      <c r="CQ59" s="1"/>
      <c r="CR59" s="1"/>
      <c r="CS59" s="1"/>
      <c r="CT59" s="1"/>
      <c r="CU59" s="1"/>
      <c r="CV59" s="1"/>
      <c r="CW59" s="1"/>
      <c r="CX59" s="1"/>
      <c r="CY59" s="1"/>
      <c r="CZ59" s="1"/>
      <c r="DA59" s="1"/>
      <c r="DB59" s="1"/>
      <c r="DC59" s="1"/>
      <c r="DD59" s="1"/>
      <c r="DE59" s="1"/>
      <c r="DF59" s="1"/>
      <c r="DG59" s="1"/>
    </row>
    <row r="60" spans="1:111" x14ac:dyDescent="0.45">
      <c r="A60" s="52" t="s">
        <v>46</v>
      </c>
      <c r="B60" s="52"/>
      <c r="C60" s="52"/>
      <c r="D60" s="53">
        <f>Simplified!D37</f>
        <v>1</v>
      </c>
      <c r="E60" s="1"/>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1"/>
      <c r="AG60" s="1"/>
      <c r="AH60" s="1" t="s">
        <v>46</v>
      </c>
      <c r="AI60" s="1"/>
      <c r="AJ60" s="1"/>
      <c r="AK60" s="25">
        <v>1</v>
      </c>
      <c r="AL60" s="25"/>
      <c r="AM60" s="1"/>
      <c r="AN60" s="1"/>
      <c r="AO60" s="1"/>
      <c r="AP60" s="1"/>
      <c r="AQ60" s="1"/>
      <c r="AR60" s="1"/>
      <c r="AS60" s="1"/>
      <c r="AT60" s="1"/>
      <c r="AU60" s="1"/>
      <c r="AV60" s="1"/>
      <c r="AW60" s="1"/>
      <c r="AX60" s="1"/>
      <c r="AY60" s="1"/>
      <c r="AZ60" s="1"/>
      <c r="BA60" s="1"/>
      <c r="BB60" s="1"/>
      <c r="BC60" s="1" t="s">
        <v>35</v>
      </c>
      <c r="BD60" s="1"/>
      <c r="BE60" s="100">
        <f>IF(AND(BF58 &lt;= (D16*60 + 120), BF58 &lt;= (14*60)),BE58, BE57)</f>
        <v>4</v>
      </c>
      <c r="BF60" s="1"/>
      <c r="BG60" s="1" t="s">
        <v>203</v>
      </c>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4">
        <v>21500</v>
      </c>
      <c r="CN60" s="4"/>
      <c r="CO60" s="1"/>
      <c r="CP60" s="1"/>
      <c r="CQ60" s="1"/>
      <c r="CR60" s="1"/>
      <c r="CS60" s="1"/>
      <c r="CT60" s="1"/>
      <c r="CU60" s="1"/>
      <c r="CV60" s="1"/>
      <c r="CW60" s="1"/>
      <c r="CX60" s="1"/>
      <c r="CY60" s="1"/>
      <c r="CZ60" s="1"/>
      <c r="DA60" s="1"/>
      <c r="DB60" s="1"/>
      <c r="DC60" s="1"/>
      <c r="DD60" s="1"/>
      <c r="DE60" s="1"/>
      <c r="DF60" s="1"/>
      <c r="DG60" s="1"/>
    </row>
    <row r="61" spans="1:111" x14ac:dyDescent="0.45">
      <c r="A61" s="52" t="s">
        <v>47</v>
      </c>
      <c r="B61" s="52"/>
      <c r="C61" s="52"/>
      <c r="D61" s="53">
        <f>Simplified!D38</f>
        <v>30</v>
      </c>
      <c r="E61" s="1"/>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1"/>
      <c r="AG61" s="1"/>
      <c r="AH61" s="1" t="s">
        <v>47</v>
      </c>
      <c r="AI61" s="1"/>
      <c r="AJ61" s="1"/>
      <c r="AK61" s="25">
        <v>30</v>
      </c>
      <c r="AL61" s="25"/>
      <c r="AM61" s="1"/>
      <c r="AN61" s="1"/>
      <c r="AO61" s="1"/>
      <c r="AP61" s="1"/>
      <c r="AQ61" s="1"/>
      <c r="AR61" s="1"/>
      <c r="AS61" s="1"/>
      <c r="AT61" s="1"/>
      <c r="AU61" s="1"/>
      <c r="AV61" s="1"/>
      <c r="AW61" s="1"/>
      <c r="AX61" s="1"/>
      <c r="AY61" s="1"/>
      <c r="AZ61" s="1"/>
      <c r="BA61" s="1"/>
      <c r="BB61" s="1"/>
      <c r="BC61" s="1" t="s">
        <v>34</v>
      </c>
      <c r="BD61" s="1"/>
      <c r="BE61" s="101">
        <f>BE60*BF53</f>
        <v>716.87272727272727</v>
      </c>
      <c r="BF61" s="1"/>
      <c r="BG61" s="1" t="s">
        <v>95</v>
      </c>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4">
        <v>22000</v>
      </c>
      <c r="CN61" s="4"/>
      <c r="CO61" s="1"/>
      <c r="CP61" s="1"/>
      <c r="CQ61" s="1"/>
      <c r="CR61" s="1"/>
      <c r="CS61" s="1"/>
      <c r="CT61" s="1"/>
      <c r="CU61" s="1"/>
      <c r="CV61" s="1"/>
      <c r="CW61" s="1"/>
      <c r="CX61" s="1"/>
      <c r="CY61" s="1"/>
      <c r="CZ61" s="1"/>
      <c r="DA61" s="1"/>
      <c r="DB61" s="1"/>
      <c r="DC61" s="1"/>
      <c r="DD61" s="1"/>
      <c r="DE61" s="1"/>
      <c r="DF61" s="1"/>
      <c r="DG61" s="1"/>
    </row>
    <row r="62" spans="1:111" x14ac:dyDescent="0.45">
      <c r="A62" s="52" t="s">
        <v>180</v>
      </c>
      <c r="B62" s="52"/>
      <c r="C62" s="52"/>
      <c r="D62" s="115">
        <f>Simplified!D39</f>
        <v>40</v>
      </c>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1"/>
      <c r="AG62" s="1"/>
      <c r="AH62" s="1" t="s">
        <v>180</v>
      </c>
      <c r="AI62" s="1"/>
      <c r="AJ62" s="1"/>
      <c r="AK62" s="25"/>
      <c r="AL62" s="25">
        <v>40</v>
      </c>
      <c r="AM62" s="1"/>
      <c r="AN62" s="1"/>
      <c r="AO62" s="1"/>
      <c r="AP62" s="1"/>
      <c r="AQ62" s="1"/>
      <c r="AR62" s="1"/>
      <c r="AS62" s="1"/>
      <c r="AT62" s="1"/>
      <c r="AU62" s="1"/>
      <c r="AV62" s="1"/>
      <c r="AW62" s="1"/>
      <c r="AX62" s="1"/>
      <c r="AY62" s="1"/>
      <c r="AZ62" s="1"/>
      <c r="BA62" s="1"/>
      <c r="BB62" s="1"/>
      <c r="BC62" s="1" t="s">
        <v>36</v>
      </c>
      <c r="BD62" s="1"/>
      <c r="BE62" s="100">
        <f>E69</f>
        <v>30</v>
      </c>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row>
    <row r="63" spans="1:111" x14ac:dyDescent="0.45">
      <c r="A63" s="52"/>
      <c r="B63" s="52"/>
      <c r="C63" s="52"/>
      <c r="D63" s="55"/>
      <c r="E63" s="1"/>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1"/>
      <c r="AG63" s="1"/>
      <c r="AH63" s="1"/>
      <c r="AI63" s="1"/>
      <c r="AJ63" s="1"/>
      <c r="AK63" s="1"/>
      <c r="AL63" s="1"/>
      <c r="AM63" s="1"/>
      <c r="AN63" s="1"/>
      <c r="AO63" s="1"/>
      <c r="AP63" s="1"/>
      <c r="AQ63" s="1"/>
      <c r="AR63" s="1"/>
      <c r="AS63" s="1"/>
      <c r="AT63" s="1"/>
      <c r="AU63" s="1"/>
      <c r="AV63" s="1"/>
      <c r="AW63" s="1"/>
      <c r="AX63" s="1"/>
      <c r="AY63" s="1"/>
      <c r="AZ63" s="1"/>
      <c r="BA63" s="1"/>
      <c r="BB63" s="1"/>
      <c r="BC63" s="1" t="s">
        <v>37</v>
      </c>
      <c r="BD63" s="1"/>
      <c r="BE63" s="101">
        <f>SUM(BE61:BE62)</f>
        <v>746.87272727272727</v>
      </c>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row>
    <row r="64" spans="1:111" x14ac:dyDescent="0.45">
      <c r="A64" s="62" t="s">
        <v>27</v>
      </c>
      <c r="B64" s="52"/>
      <c r="C64" s="52"/>
      <c r="D64" s="63" t="s">
        <v>95</v>
      </c>
      <c r="E64" s="1"/>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1"/>
      <c r="AG64" s="1"/>
      <c r="AH64" s="1" t="s">
        <v>27</v>
      </c>
      <c r="AI64" s="1"/>
      <c r="AJ64" s="1"/>
      <c r="AK64" s="25" t="s">
        <v>95</v>
      </c>
      <c r="AL64" s="25"/>
      <c r="AM64" s="1"/>
      <c r="AN64" s="1"/>
      <c r="AO64" s="1"/>
      <c r="AP64" s="1"/>
      <c r="AQ64" s="1"/>
      <c r="AR64" s="1"/>
      <c r="AS64" s="1"/>
      <c r="AT64" s="1"/>
      <c r="AU64" s="1"/>
      <c r="AV64" s="1"/>
      <c r="AW64" s="1"/>
      <c r="AX64" s="1"/>
      <c r="AY64" s="1"/>
      <c r="AZ64" s="1"/>
      <c r="BA64" s="1"/>
      <c r="BB64" s="1"/>
      <c r="BC64" s="1"/>
      <c r="BD64" s="1"/>
      <c r="BE64" s="99">
        <f>BE63/15</f>
        <v>49.791515151515149</v>
      </c>
      <c r="BF64" s="1"/>
      <c r="BG64" s="1" t="s">
        <v>53</v>
      </c>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row>
    <row r="65" spans="1:111" x14ac:dyDescent="0.45">
      <c r="A65" s="52" t="s">
        <v>178</v>
      </c>
      <c r="B65" s="52"/>
      <c r="C65" s="52"/>
      <c r="D65" s="53">
        <f>Simplified!D42</f>
        <v>30</v>
      </c>
      <c r="E65" s="1"/>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1"/>
      <c r="AG65" s="1"/>
      <c r="AH65" s="1" t="s">
        <v>150</v>
      </c>
      <c r="AI65" s="1"/>
      <c r="AJ65" s="1"/>
      <c r="AK65" s="25">
        <v>30</v>
      </c>
      <c r="AL65" s="25"/>
      <c r="AM65" s="1"/>
      <c r="AN65" s="1"/>
      <c r="AO65" s="1"/>
      <c r="AP65" s="1"/>
      <c r="AQ65" s="1"/>
      <c r="AR65" s="1"/>
      <c r="AS65" s="1"/>
      <c r="AT65" s="1"/>
      <c r="AU65" s="1"/>
      <c r="AV65" s="1"/>
      <c r="AW65" s="1"/>
      <c r="AX65" s="1"/>
      <c r="AY65" s="1"/>
      <c r="AZ65" s="1"/>
      <c r="BA65" s="1"/>
      <c r="BB65" s="1"/>
      <c r="BC65" s="1"/>
      <c r="BD65" s="1"/>
      <c r="BE65" s="99">
        <f>(BE64)</f>
        <v>49.791515151515149</v>
      </c>
      <c r="BF65" s="1"/>
      <c r="BG65" s="1" t="s">
        <v>54</v>
      </c>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row>
    <row r="66" spans="1:111" x14ac:dyDescent="0.45">
      <c r="A66" s="52" t="s">
        <v>176</v>
      </c>
      <c r="B66" s="52"/>
      <c r="C66" s="52"/>
      <c r="D66" s="53">
        <f>Simplified!D43</f>
        <v>60</v>
      </c>
      <c r="E66" s="1"/>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1"/>
      <c r="AG66" s="1"/>
      <c r="AH66" s="1" t="s">
        <v>151</v>
      </c>
      <c r="AI66" s="1"/>
      <c r="AJ66" s="1"/>
      <c r="AK66" s="25">
        <v>60</v>
      </c>
      <c r="AL66" s="25"/>
      <c r="AM66" s="1"/>
      <c r="AN66" s="1"/>
      <c r="AO66" s="1"/>
      <c r="AP66" s="1"/>
      <c r="AQ66" s="1"/>
      <c r="AR66" s="1"/>
      <c r="AS66" s="1"/>
      <c r="AT66" s="1"/>
      <c r="AU66" s="1"/>
      <c r="AV66" s="1"/>
      <c r="AW66" s="1"/>
      <c r="AX66" s="1"/>
      <c r="AY66" s="1"/>
      <c r="AZ66" s="1"/>
      <c r="BA66" s="1"/>
      <c r="BB66" s="1"/>
      <c r="BC66" s="1" t="s">
        <v>38</v>
      </c>
      <c r="BD66" s="1"/>
      <c r="BE66" s="99">
        <f>IF((BE65/4)&lt;=D16,BE65/4,D16)</f>
        <v>10</v>
      </c>
      <c r="BF66" s="1"/>
      <c r="BG66" s="1" t="s">
        <v>55</v>
      </c>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row>
    <row r="67" spans="1:111" x14ac:dyDescent="0.45">
      <c r="A67" s="52" t="s">
        <v>182</v>
      </c>
      <c r="B67" s="52"/>
      <c r="C67" s="52"/>
      <c r="D67" s="64">
        <f>Simplified!D44</f>
        <v>0.45</v>
      </c>
      <c r="E67" s="36"/>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1"/>
      <c r="AG67" s="1"/>
      <c r="AH67" s="1" t="s">
        <v>182</v>
      </c>
      <c r="AI67" s="1"/>
      <c r="AJ67" s="1"/>
      <c r="AK67" s="25">
        <v>0.45</v>
      </c>
      <c r="AM67" s="1"/>
      <c r="AN67" s="1"/>
      <c r="AO67" s="1"/>
      <c r="AP67" s="1"/>
      <c r="AQ67" s="1"/>
      <c r="AR67" s="1"/>
      <c r="AS67" s="1"/>
      <c r="AT67" s="1"/>
      <c r="AU67" s="1"/>
      <c r="AV67" s="1"/>
      <c r="AW67" s="1"/>
      <c r="AX67" s="1"/>
      <c r="AY67" s="1"/>
      <c r="AZ67" s="1"/>
      <c r="BA67" s="1"/>
      <c r="BB67" s="1"/>
      <c r="BC67" s="1" t="s">
        <v>100</v>
      </c>
      <c r="BD67" s="1"/>
      <c r="BE67" s="102">
        <f>IF(D44="Salary ($/yr)", IF(D45&gt;0.1, IF(D45&lt;=200, (D45*1000)/D14/D16/D15, D45/D14/D16/D15), BS19/D14/D16/D15), IF(D44="Weekly ($/wk)", IF(D45&gt;0.1, D45/D15/D16, BS20/D15/D16), IF(D44="Daily ($/day)", IF(D45&gt;10, D45/D16, BS21/D16), IF(D44="Hourly ($/hr)", IF(D45&gt;10, D45, BS22), IF(D44="% of Revenue", IF(D45&lt;=1, D45*BT23, BS23), IF(D44="Per Loaded Mile ($/mile)", IF(D45&gt;0.1, D45*(SUM(D60:D61)*BE60), BS24*((SUM(D60:D61)/2))), IF(D44="Per Load ($/load)", IF(D45&gt;0.1, D45*BE60, BS25*BE60), 0)))))))</f>
        <v>26.04</v>
      </c>
      <c r="BF67" s="1"/>
      <c r="BG67" s="1" t="s">
        <v>190</v>
      </c>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row>
    <row r="68" spans="1:111" x14ac:dyDescent="0.45">
      <c r="A68" s="52" t="s">
        <v>152</v>
      </c>
      <c r="B68" s="52"/>
      <c r="C68" s="52"/>
      <c r="D68" s="52"/>
      <c r="E68" s="31">
        <v>5</v>
      </c>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1"/>
      <c r="AG68" s="1"/>
      <c r="AH68" s="1" t="s">
        <v>152</v>
      </c>
      <c r="AI68" s="1"/>
      <c r="AJ68" s="1"/>
      <c r="AK68" s="25"/>
      <c r="AL68" s="25">
        <v>5</v>
      </c>
      <c r="AM68" s="1"/>
      <c r="AN68" s="1"/>
      <c r="AO68" s="1"/>
      <c r="AP68" s="1"/>
      <c r="AQ68" s="1"/>
      <c r="AR68" s="1"/>
      <c r="AS68" s="1"/>
      <c r="AT68" s="1"/>
      <c r="AU68" s="1"/>
      <c r="AV68" s="1"/>
      <c r="AW68" s="1"/>
      <c r="AX68" s="1"/>
      <c r="AY68" s="1"/>
      <c r="AZ68" s="1"/>
      <c r="BA68" s="1"/>
      <c r="BB68" s="1"/>
      <c r="BC68" s="1" t="s">
        <v>39</v>
      </c>
      <c r="BD68" s="1"/>
      <c r="BE68" s="102">
        <f>IF(OR(D44 = "Per Loaded Mile ($/mile)", D44 = "Per Load ($/load)"), BE67, IF(BE66&lt;=D16, BE67*BE66, BE67*D16))</f>
        <v>260.39999999999998</v>
      </c>
      <c r="BF68" s="1"/>
      <c r="BG68" s="1" t="s">
        <v>154</v>
      </c>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row>
    <row r="69" spans="1:111" x14ac:dyDescent="0.45">
      <c r="A69" s="52" t="s">
        <v>153</v>
      </c>
      <c r="B69" s="52"/>
      <c r="C69" s="52"/>
      <c r="D69" s="52"/>
      <c r="E69" s="31">
        <v>30</v>
      </c>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1"/>
      <c r="AG69" s="1"/>
      <c r="AH69" s="1" t="s">
        <v>153</v>
      </c>
      <c r="AI69" s="1"/>
      <c r="AJ69" s="1"/>
      <c r="AK69" s="25"/>
      <c r="AL69" s="25">
        <v>30</v>
      </c>
      <c r="AM69" s="1"/>
      <c r="AN69" s="1"/>
      <c r="AO69" s="1"/>
      <c r="AP69" s="1"/>
      <c r="AQ69" s="1"/>
      <c r="AR69" s="1"/>
      <c r="AS69" s="1"/>
      <c r="AT69" s="1"/>
      <c r="AU69" s="1"/>
      <c r="AV69" s="1"/>
      <c r="AW69" s="1"/>
      <c r="AX69" s="1"/>
      <c r="AY69" s="1"/>
      <c r="AZ69" s="1"/>
      <c r="BA69" s="1"/>
      <c r="BB69" s="1"/>
      <c r="BC69" s="1" t="s">
        <v>109</v>
      </c>
      <c r="BD69" s="1"/>
      <c r="BE69" s="100">
        <f>IF(AND(E48&gt;0, E48&lt;1), E48, IF(E48&gt;1, E48/100, BS29))</f>
        <v>0.3</v>
      </c>
      <c r="BF69" s="1"/>
      <c r="BG69" s="2" t="s">
        <v>157</v>
      </c>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row>
    <row r="70" spans="1:111" x14ac:dyDescent="0.45">
      <c r="A70" s="52"/>
      <c r="B70" s="52"/>
      <c r="C70" s="52"/>
      <c r="D70" s="52"/>
      <c r="E70"/>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1"/>
      <c r="AG70" s="1"/>
      <c r="AH70" s="1"/>
      <c r="AI70" s="1"/>
      <c r="AJ70" s="1"/>
      <c r="AK70" s="1"/>
      <c r="AL70" s="1"/>
      <c r="AM70" s="1"/>
      <c r="AN70" s="1"/>
      <c r="AO70" s="1"/>
      <c r="AP70" s="1"/>
      <c r="AQ70" s="1"/>
      <c r="AR70" s="1"/>
      <c r="AS70" s="1"/>
      <c r="AT70" s="1"/>
      <c r="AU70" s="1"/>
      <c r="AV70" s="1"/>
      <c r="AW70" s="1"/>
      <c r="AX70" s="1"/>
      <c r="AY70" s="1"/>
      <c r="AZ70" s="1"/>
      <c r="BA70" s="1"/>
      <c r="BB70" s="1"/>
      <c r="BC70" s="1" t="s">
        <v>110</v>
      </c>
      <c r="BD70" s="1"/>
      <c r="BE70" s="102">
        <f>BE69*BE67*IF(OR(D44="Per Loaded Mile ($/mile)",D44="Per Load ($/load)"),1,(IF(BE66&lt;=D16,BE66,D16)))</f>
        <v>78.11999999999999</v>
      </c>
      <c r="BF70" s="1"/>
      <c r="BG70" s="1" t="s">
        <v>158</v>
      </c>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row>
    <row r="71" spans="1:111" x14ac:dyDescent="0.45">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1"/>
      <c r="AG71" s="1"/>
      <c r="AH71" s="1"/>
      <c r="AI71" s="1"/>
      <c r="AJ71" s="1"/>
      <c r="AK71" s="1"/>
      <c r="AL71" s="1"/>
      <c r="AM71" s="1"/>
      <c r="AN71" s="1"/>
      <c r="AO71" s="1"/>
      <c r="AP71" s="1"/>
      <c r="AQ71" s="1"/>
      <c r="AR71" s="1"/>
      <c r="AS71" s="1"/>
      <c r="AT71" s="1"/>
      <c r="AU71" s="1"/>
      <c r="AV71" s="1"/>
      <c r="AW71" s="1"/>
      <c r="AX71" s="1"/>
      <c r="AY71" s="1"/>
      <c r="AZ71" s="1"/>
      <c r="BA71" s="1"/>
      <c r="BB71" s="1"/>
      <c r="BC71" s="1" t="s">
        <v>193</v>
      </c>
      <c r="BD71" s="1"/>
      <c r="BE71" s="4">
        <f>BE68*BV24</f>
        <v>39.059999999999995</v>
      </c>
      <c r="BF71" s="1"/>
      <c r="BG71" s="1" t="s">
        <v>195</v>
      </c>
      <c r="BH71" s="17"/>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row>
    <row r="72" spans="1:111" x14ac:dyDescent="0.45">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1"/>
      <c r="AG72" s="1"/>
      <c r="AH72" s="1"/>
      <c r="AI72" s="1"/>
      <c r="AJ72" s="1"/>
      <c r="AK72" s="1"/>
      <c r="AL72" s="1"/>
      <c r="AM72" s="1"/>
      <c r="AN72" s="1"/>
      <c r="AO72" s="1"/>
      <c r="AP72" s="1"/>
      <c r="AQ72" s="1"/>
      <c r="AR72" s="1"/>
      <c r="AS72" s="1"/>
      <c r="AT72" s="1"/>
      <c r="AU72" s="1"/>
      <c r="AV72" s="1"/>
      <c r="AW72" s="1"/>
      <c r="AX72" s="1"/>
      <c r="AY72" s="1"/>
      <c r="AZ72" s="1"/>
      <c r="BA72" s="1"/>
      <c r="BB72" s="1"/>
      <c r="BC72" s="1" t="s">
        <v>196</v>
      </c>
      <c r="BD72" s="1"/>
      <c r="BE72" s="4">
        <f>IF(D47="Y",BE70+BE68,IF(D47="N",BE68,0))+BE71</f>
        <v>299.45999999999998</v>
      </c>
      <c r="BF72" s="17"/>
      <c r="BG72" s="17"/>
      <c r="BH72" s="17"/>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row>
    <row r="73" spans="1:111" x14ac:dyDescent="0.45">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7"/>
      <c r="BG73" s="17"/>
      <c r="BH73" s="1"/>
      <c r="BI73" s="17"/>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row>
    <row r="74" spans="1:111" x14ac:dyDescent="0.45">
      <c r="A74" s="52"/>
      <c r="B74" s="52"/>
      <c r="C74" s="52"/>
      <c r="D74" s="52"/>
      <c r="E74" s="52"/>
      <c r="F74" s="52"/>
      <c r="G74" s="52"/>
      <c r="H74" s="52"/>
      <c r="I74" s="52"/>
      <c r="J74" s="52"/>
      <c r="K74" s="52"/>
      <c r="L74" s="52"/>
      <c r="M74" s="52"/>
      <c r="N74" s="52"/>
      <c r="O74" s="52"/>
      <c r="P74" s="52"/>
      <c r="Q74" s="52"/>
      <c r="R74" s="52"/>
      <c r="S74" s="52"/>
      <c r="T74" s="52"/>
      <c r="U74" s="52"/>
      <c r="V74" s="52"/>
      <c r="W74" s="67"/>
      <c r="X74" s="67"/>
      <c r="Y74" s="67"/>
      <c r="Z74" s="67"/>
      <c r="AA74" s="67"/>
      <c r="AB74" s="67"/>
      <c r="AC74" s="52"/>
      <c r="AD74" s="52"/>
      <c r="AE74" s="52"/>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7"/>
      <c r="BJ74" s="17"/>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row>
    <row r="75" spans="1:111" x14ac:dyDescent="0.45">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7"/>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row>
    <row r="76" spans="1:111" x14ac:dyDescent="0.45">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row>
    <row r="77" spans="1:111" x14ac:dyDescent="0.45">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row>
    <row r="78" spans="1:111" x14ac:dyDescent="0.45">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row>
    <row r="79" spans="1:111" x14ac:dyDescent="0.45">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row>
    <row r="80" spans="1:111" x14ac:dyDescent="0.45">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row>
    <row r="81" spans="1:111" x14ac:dyDescent="0.45">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row>
    <row r="82" spans="1:111" x14ac:dyDescent="0.45">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row>
    <row r="83" spans="1:111" x14ac:dyDescent="0.45">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row>
    <row r="84" spans="1:111" x14ac:dyDescent="0.45">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row>
    <row r="85" spans="1:111" x14ac:dyDescent="0.45">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row>
    <row r="86" spans="1:111" x14ac:dyDescent="0.45">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row>
    <row r="87" spans="1:111" x14ac:dyDescent="0.45">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row>
    <row r="88" spans="1:111" x14ac:dyDescent="0.45">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row>
    <row r="89" spans="1:111" x14ac:dyDescent="0.45">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row>
    <row r="90" spans="1:111" x14ac:dyDescent="0.45">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row>
    <row r="91" spans="1:111" x14ac:dyDescent="0.45">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row>
    <row r="92" spans="1:111" x14ac:dyDescent="0.45">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row>
    <row r="93" spans="1:111" x14ac:dyDescent="0.45">
      <c r="A93"/>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row>
    <row r="94" spans="1:111" x14ac:dyDescent="0.45">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row>
    <row r="95" spans="1:111" x14ac:dyDescent="0.45">
      <c r="A95" s="52" t="s">
        <v>209</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row>
    <row r="96" spans="1:111" x14ac:dyDescent="0.45">
      <c r="A96" s="52" t="s">
        <v>197</v>
      </c>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row>
    <row r="97" spans="1:111" x14ac:dyDescent="0.45">
      <c r="A97" s="1" t="s">
        <v>198</v>
      </c>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row>
    <row r="98" spans="1:111" x14ac:dyDescent="0.45">
      <c r="A98" s="1" t="s">
        <v>199</v>
      </c>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1"/>
      <c r="AE98" s="1"/>
      <c r="AF98" s="1"/>
      <c r="AG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row>
    <row r="99" spans="1:111" x14ac:dyDescent="0.45">
      <c r="A99" s="1" t="s">
        <v>200</v>
      </c>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1"/>
      <c r="AE99" s="1"/>
      <c r="AF99" s="1"/>
      <c r="AG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row>
    <row r="100" spans="1:111" x14ac:dyDescent="0.45">
      <c r="A100" s="1" t="s">
        <v>201</v>
      </c>
      <c r="B100" s="52"/>
      <c r="C100" s="52"/>
      <c r="D100" s="52"/>
      <c r="E100" s="52"/>
      <c r="F100" s="52"/>
      <c r="G100" s="52"/>
      <c r="H100" s="52"/>
      <c r="I100" s="52"/>
      <c r="R100" s="52"/>
      <c r="S100" s="52"/>
      <c r="T100" s="52"/>
      <c r="U100" s="52"/>
      <c r="V100" s="52"/>
      <c r="W100" s="52"/>
      <c r="X100" s="52"/>
      <c r="Y100" s="52"/>
      <c r="Z100" s="52"/>
      <c r="AA100" s="52"/>
      <c r="AB100" s="52"/>
      <c r="AC100" s="52"/>
      <c r="AD100" s="1"/>
      <c r="AE100" s="1"/>
      <c r="AF100" s="1"/>
      <c r="AG100" s="1"/>
      <c r="AM100" s="1"/>
      <c r="AN100" s="1"/>
      <c r="AO100" s="1"/>
      <c r="AP100" s="1"/>
      <c r="AQ100" s="1"/>
      <c r="AR100" s="1"/>
      <c r="AS100" s="1"/>
      <c r="AT100" s="1"/>
      <c r="AU100" s="1"/>
      <c r="AV100" s="1"/>
      <c r="AW100" s="1"/>
      <c r="AX100" s="1"/>
      <c r="AY100" s="1"/>
      <c r="AZ100" s="1"/>
      <c r="BA100" s="1"/>
      <c r="BB100" s="1"/>
      <c r="BC100" s="1"/>
      <c r="BD100" s="1"/>
      <c r="BE100" s="1"/>
      <c r="BF100" s="1"/>
      <c r="BG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row>
    <row r="101" spans="1:111" x14ac:dyDescent="0.45">
      <c r="A101" s="1" t="s">
        <v>202</v>
      </c>
      <c r="BB101" s="1"/>
      <c r="BI101" s="1"/>
      <c r="BJ101" s="1"/>
      <c r="BK101" s="1"/>
      <c r="BL101" s="1"/>
      <c r="BM101" s="1"/>
      <c r="BN101" s="1"/>
      <c r="BO101" s="1"/>
      <c r="BP101" s="1"/>
      <c r="BQ101" s="1"/>
      <c r="BR101" s="1"/>
    </row>
    <row r="102" spans="1:111" x14ac:dyDescent="0.45">
      <c r="BJ102" s="1"/>
      <c r="BK102" s="1"/>
      <c r="BL102" s="1"/>
      <c r="BM102" s="1"/>
      <c r="BO102" s="1"/>
      <c r="BP102" s="1"/>
      <c r="BQ102" s="1"/>
    </row>
  </sheetData>
  <sheetProtection sheet="1" objects="1" scenarios="1"/>
  <mergeCells count="3">
    <mergeCell ref="D2:F2"/>
    <mergeCell ref="C3:G3"/>
    <mergeCell ref="C4:G4"/>
  </mergeCells>
  <dataValidations count="41">
    <dataValidation type="custom" allowBlank="1" showInputMessage="1" showErrorMessage="1" sqref="K18" xr:uid="{1F59331B-BBD7-4D06-ABF9-35E5C370F86A}">
      <formula1>K18&lt;=14</formula1>
    </dataValidation>
    <dataValidation type="list" errorStyle="information" allowBlank="1" showInputMessage="1" showErrorMessage="1" errorTitle="Check Input" error="Please double check that your value is correct." promptTitle="Benefits" prompt="Do you offer benefits to your drivers?" sqref="D47" xr:uid="{7CA29284-96F2-45E6-96CE-622972DA3A42}">
      <formula1>$BR$29:$BR$30</formula1>
    </dataValidation>
    <dataValidation type="list" errorStyle="information" allowBlank="1" showInputMessage="1" showErrorMessage="1" errorTitle="Check Input" error="Please double check that your value is correct." promptTitle="Mechanic" prompt="Do you have a mechanic on staff? If a mechanic is present, costs for repair and maintenance will go up to account for this. However, the tool is unable to account for extra costs of taking the truck to a dealership or shop for servicing instead." sqref="E50" xr:uid="{61ED2E78-6BBD-488D-9FAF-20F7A0BDDD69}">
      <formula1>$BR$29:$BR$30</formula1>
    </dataValidation>
    <dataValidation type="list" errorStyle="information" allowBlank="1" showInputMessage="1" showErrorMessage="1" errorTitle="Check Input" error="Please double check that your value is correct." promptTitle="Trucks" prompt="New or Used? The tool uses this basic input if more detailed information is not provided in the next cells." sqref="D30" xr:uid="{3190C399-6119-445D-9FCC-26E8CE219581}">
      <formula1>$BO$29:$BO$30</formula1>
    </dataValidation>
    <dataValidation allowBlank="1" showInputMessage="1" showErrorMessage="1" promptTitle="Purchase Price" prompt="What is the average purchase price for trucks in your company's fleet? Please input this value as thousands of dollars." sqref="E31" xr:uid="{77FBCF67-6E9C-47BE-B3D2-2EB25E917366}"/>
    <dataValidation allowBlank="1" showInputMessage="1" showErrorMessage="1" promptTitle="Salvage Value" prompt="This is the estimated value of the vehicle at the end of its service lifespan." sqref="E34" xr:uid="{1CB5EA30-476D-4529-B9D3-1EA5A249AD02}"/>
    <dataValidation allowBlank="1" showInputMessage="1" showErrorMessage="1" promptTitle="Number of Mechanics" prompt="How many mechanics does your company employ? This is only used to have the correct cost accounting for maintenance on this one truck." sqref="E51" xr:uid="{5D67EB0A-C3BE-4282-8365-E90FA4472586}"/>
    <dataValidation allowBlank="1" showInputMessage="1" showErrorMessage="1" promptTitle="Woods Turn-Time" prompt="This is the average amount of time spent in the woods waiting and being loaded." sqref="D65" xr:uid="{979883B2-F495-4839-9AB4-AD23BBD39685}"/>
    <dataValidation allowBlank="1" showInputMessage="1" showErrorMessage="1" promptTitle="Mill Turn-Time" prompt="This is the average amount of time spent at the mill waiting and being unloaded." sqref="D66" xr:uid="{BC3F1D8B-2184-4B85-ADA2-915821A3055C}"/>
    <dataValidation allowBlank="1" showInputMessage="1" showErrorMessage="1" promptTitle="In Route Delay" prompt="This is the amount of time expected to be lost to traffic or other in route delays." sqref="E68" xr:uid="{8285E8EC-C996-4BFB-A7B6-F6E449D5E3E0}"/>
    <dataValidation allowBlank="1" showInputMessage="1" showErrorMessage="1" promptTitle="Daily Servicing" prompt="This is the amount of time per day spent maintaining or inspecting the vehicle. " sqref="E69" xr:uid="{39320957-9717-417F-B4C2-D0F909F756D1}"/>
    <dataValidation allowBlank="1" showInputMessage="1" showErrorMessage="1" promptTitle="Forest Road Distance" prompt="This is the one-way distance of unpaved or woods road expected to access the harvest site, distance from paved road to logging deck." sqref="D60" xr:uid="{BDFB2AE2-E152-42B0-9046-D6260513035F}"/>
    <dataValidation allowBlank="1" showInputMessage="1" showErrorMessage="1" promptTitle="Paved Road Distance" prompt="This is the one-way paved road distance between the harvest site and mill location." sqref="D61" xr:uid="{88BF09BF-0A74-49ED-B277-E9C45C5CA484}"/>
    <dataValidation allowBlank="1" showInputMessage="1" promptTitle="Fuel Cost" prompt="What is the average cost for a gallon of on-road diesel fuel in your area? " sqref="D20" xr:uid="{DC48813C-54D9-45AE-A23B-BC5B14386C57}"/>
    <dataValidation allowBlank="1" showInputMessage="1" promptTitle="APR" prompt="What is the APR if the truck is financed? If the truck was purchased outright or not financed, please put a value of &quot;0&quot; in this cell." sqref="E32" xr:uid="{5C93F309-759F-42AB-9A15-A3C556CCBE63}"/>
    <dataValidation allowBlank="1" showInputMessage="1" promptTitle="Years of Financing" prompt="How many years is the truck financed for? If the truck was purchased outright or not financed, please put a value of &quot;0&quot; in this cell." sqref="E33" xr:uid="{5854394E-2E1E-403D-9033-2B3BF9746771}"/>
    <dataValidation allowBlank="1" showInputMessage="1" promptTitle="Vehicle Lifespan" prompt="What is the average lifespan of vehicles in your company fleet before they are replaced?" sqref="E35" xr:uid="{057A5886-974F-40DC-B72B-5D49FEE1753B}"/>
    <dataValidation allowBlank="1" showInputMessage="1" promptTitle="Average Trailer Purchase Price" prompt="What is the average purchase price of trailers that your company uses? Please enter this value in thousands of dollars." sqref="E37" xr:uid="{7F36ADD0-06EF-4509-BA4E-9AF60829090A}"/>
    <dataValidation allowBlank="1" showInputMessage="1" promptTitle="Trailer Lifespan" prompt="How many years do trailers typically last before being completely replaced? " sqref="E38" xr:uid="{0FA702B5-0DB4-4C8A-9651-F39763F1532E}"/>
    <dataValidation allowBlank="1" showInputMessage="1" showErrorMessage="1" promptTitle="Driver Pay Amount" prompt="Please input the typical amount a driver is paid by their pay style. This value should match with the pay style above. For example, $30/hr should be input as &quot;30&quot;, 40% of revenue should be input as &quot;40&quot;, $1.65/loaded mile should be input as &quot;1.65&quot;, etc." sqref="D45" xr:uid="{EED6A3FC-28F3-413C-A442-3C73D529412F}"/>
    <dataValidation allowBlank="1" showInputMessage="1" showErrorMessage="1" promptTitle="Benefits % of Wage" prompt="What is the percentage of a driver's wage that benefits compare to? This is calculated by dividing the average annual benefit cost by the average annual driver wage and adding required benefits such as unemployment and worker's comp. " sqref="E48" xr:uid="{5193163F-3CE6-4FBF-BC94-4609968FAA19}"/>
    <dataValidation allowBlank="1" showInputMessage="1" showErrorMessage="1" promptTitle="Number of Trucks" prompt="How many trucks are serviced by the mechanic(s) accounted for above? This helps reduce the cost per truck, but results are still for one truck and one trailer." sqref="E54" xr:uid="{C7CD70DC-6041-4B34-8760-C87D9D902F09}"/>
    <dataValidation allowBlank="1" showInputMessage="1" showErrorMessage="1" promptTitle="Mechanic Pay Amount" prompt="Please input the typical amount a mechanic is paid by their pay style. This value should match with the pay style above. For example, $30/hr should be input as &quot;30&quot;, 40% of revenue should be input as &quot;40&quot;, $1.65/loaded mile should be input as &quot;1.65&quot;, etc." sqref="E56" xr:uid="{E4744F2E-46FA-4F81-9121-C87C21B6498A}"/>
    <dataValidation allowBlank="1" showInputMessage="1" showErrorMessage="1" promptTitle="Mechanic Days per Week" prompt="How many days per week do your mechanics work on your log trucks? " sqref="E52" xr:uid="{1C029638-F454-4417-AE4C-45186FF978D8}"/>
    <dataValidation allowBlank="1" showInputMessage="1" showErrorMessage="1" promptTitle="Mechanic Hours per Day" prompt="How many hours per day do your mechanics work on log trucks?" sqref="E53" xr:uid="{8DBF0531-0964-4717-87C8-D68DD8334F7A}"/>
    <dataValidation type="list" errorStyle="information" allowBlank="1" showInputMessage="1" showErrorMessage="1" errorTitle="Check Input" error="Please double check that your value is correct." promptTitle="MPG" prompt="What is the average fuel economy of your trucks?" sqref="D21" xr:uid="{4225DFDB-56D5-4A69-86C9-27006598AA9E}">
      <formula1>$CL$19:$CL$27</formula1>
    </dataValidation>
    <dataValidation type="list" errorStyle="information" allowBlank="1" showInputMessage="1" showErrorMessage="1" errorTitle="Check Input" error="Please double check that your value is correct." promptTitle="Days per Week" prompt="How many days per week do your truck drivers typically work?" sqref="D15" xr:uid="{593C020A-035D-4533-BD4F-4A0F1E9D7E85}">
      <formula1>$CI$19:$CI$25</formula1>
    </dataValidation>
    <dataValidation type="list" errorStyle="information" allowBlank="1" showInputMessage="1" showErrorMessage="1" errorTitle="Check Input" error="Please double check that your value is correct." promptTitle="Weeks per Year" prompt="How many weeks per year do your log truck drivers typically work?" sqref="D14" xr:uid="{E857DAD7-17CE-4573-8BBC-1084602ACB7D}">
      <formula1>$CH$19:$CH$36</formula1>
    </dataValidation>
    <dataValidation type="list" errorStyle="information" allowBlank="1" showInputMessage="1" showErrorMessage="1" errorTitle="Check Input" error="Please double check that your value is correct." promptTitle="Driver Pay Style" prompt="How are drivers typically paid?" sqref="D44" xr:uid="{0F5DC984-4B69-485B-B105-6FE6B136C570}">
      <formula1>$BR$19:$BR$25</formula1>
    </dataValidation>
    <dataValidation allowBlank="1" showInputMessage="1" promptTitle="Minimum Haul Distance" prompt="This is the one-way distance used as a minimum for rate and cost calculations. " sqref="D62 AL62" xr:uid="{2008C20E-0FC3-4D83-A3FE-35266206C4C8}"/>
    <dataValidation allowBlank="1" showInputMessage="1" showErrorMessage="1" promptTitle="Unpaved Unloaded" prompt="What is the average fuel efficency of your log trucks while unloaded on woods or other unpaved roads? " sqref="E27" xr:uid="{A007FFB1-E3B3-42E6-BB24-D02B09DC9C21}"/>
    <dataValidation allowBlank="1" showInputMessage="1" showErrorMessage="1" promptTitle="Paved Unloaded" prompt="What is the average fuel efficency of your log truck while unloaded on paved roads when returning from the mill? " sqref="E26" xr:uid="{5EAEABED-DFB0-445A-9046-F6427B16F8C0}"/>
    <dataValidation allowBlank="1" showInputMessage="1" showErrorMessage="1" promptTitle="Paved Loaded" prompt="What is the average fuel efficency of your log truck while loaded on paved roads in route to the mill? " sqref="E25" xr:uid="{62015F13-26B5-4EA3-B980-20C0CB7A69F1}"/>
    <dataValidation allowBlank="1" showInputMessage="1" promptTitle="Unpaved Loaded" prompt="What is the average fuel efficency of your log truck while loaded on woods or other unpaved roads? " sqref="E24" xr:uid="{4A18861F-20D5-466A-854F-DF4D51910262}"/>
    <dataValidation type="list" errorStyle="information" allowBlank="1" showInputMessage="1" showErrorMessage="1" errorTitle="Check Input" error="Please double check that your value is correct." promptTitle="Detailed MPG Data" prompt="Do you have detailed MPG data for both paved and unpaved roads while both loaded and unloaded?" sqref="E23" xr:uid="{1309D092-7157-44E0-8271-AD1BA6967A4F}">
      <formula1>$BR$29:$BR$30</formula1>
    </dataValidation>
    <dataValidation type="list" errorStyle="information" allowBlank="1" showInputMessage="1" showErrorMessage="1" errorTitle="Check Input" error="Please double check that your value is correct." promptTitle="Trailers" prompt="Which type of trailers does your company typically use?" sqref="D36" xr:uid="{B49B23DE-B7F7-4FAC-87A2-749395E46104}">
      <formula1>$BO$37:$BO$41</formula1>
    </dataValidation>
    <dataValidation type="list" errorStyle="information" allowBlank="1" showInputMessage="1" showErrorMessage="1" errorTitle="Check Input" error="Please double check that your value is correct." promptTitle="Mechanic Pay Style" prompt="How does your company pay mechanics?" sqref="E55" xr:uid="{E8B1F188-95D4-4F79-A789-EE1B4C160BB6}">
      <formula1>$BR$35:$BR$38</formula1>
    </dataValidation>
    <dataValidation type="list" errorStyle="information" allowBlank="1" showInputMessage="1" showErrorMessage="1" errorTitle="Check Input" error="Please double check that your value is correct." promptTitle="Hours per Day" prompt="How many hours per day do your truck drivers typically work?" sqref="D16" xr:uid="{2608642E-0ADC-4FAC-8691-E869C8CCCC28}">
      <formula1>$CJ$19:$CJ$45</formula1>
    </dataValidation>
    <dataValidation type="list" errorStyle="information" allowBlank="1" showInputMessage="1" showErrorMessage="1" errorTitle="Check Input" error="Please double check that your value is correct." promptTitle="Average Payload (Tons)" prompt="What is the average payload (in tons) on your trucks? " sqref="D18" xr:uid="{4EB4C924-89C2-439A-8B9A-96D501A6DB45}">
      <formula1>$CK$19:$CK$47</formula1>
    </dataValidation>
    <dataValidation type="list" errorStyle="information" allowBlank="1" showInputMessage="1" showErrorMessage="1" errorTitle="Check Input" error="Please double check that your value is correct." promptTitle="Permits/Taxes" prompt="What is the average annual cost for permits and taxes on one truck?" sqref="D41" xr:uid="{125D1B6B-5E59-40B9-BEE5-2AA951ABFDDB}">
      <formula1>$CN$19:$CN$39</formula1>
    </dataValidation>
    <dataValidation type="list" errorStyle="information" allowBlank="1" showInputMessage="1" showErrorMessage="1" errorTitle="Check Input" error="Please double check that your value is correct." promptTitle="Insurance Premium Cost" prompt="What is the average insurance premium cost for this truck per year?" sqref="D40" xr:uid="{79022780-1ED4-4558-96CE-B27062C0A9E3}">
      <formula1>$CM$19:$CM$61</formula1>
    </dataValidation>
  </dataValidations>
  <pageMargins left="0.7" right="0.7" top="0.75" bottom="0.75" header="0.3" footer="0.3"/>
  <pageSetup orientation="portrait" horizontalDpi="360" verticalDpi="360" r:id="rId1"/>
  <ignoredErrors>
    <ignoredError sqref="BP33:BP34 D67" unlockedFormula="1"/>
    <ignoredError sqref="O25:P25"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Simplified</vt:lpstr>
      <vt:lpstr>Advanced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Gifford Pinchot</dc:creator>
  <cp:lastModifiedBy>Reviewer</cp:lastModifiedBy>
  <dcterms:created xsi:type="dcterms:W3CDTF">2024-08-19T14:31:22Z</dcterms:created>
  <dcterms:modified xsi:type="dcterms:W3CDTF">2026-07-17T18:12:52Z</dcterms:modified>
</cp:coreProperties>
</file>